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ต้นทุนผลผลิต ปี 61-24 ก.พ.62\ต้นทุน ปี 61-แก้  สวศ. และปรับค่าถ่วง นน.สลก.19 ก.พ.62\ต้นทุน ปี 61 ส่ง กรมบัญชีกลาง ก.พ.ร. สงป หลังประชุม 21 ก.พ.62\"/>
    </mc:Choice>
  </mc:AlternateContent>
  <xr:revisionPtr revIDLastSave="0" documentId="13_ncr:1_{37BF92FF-3D27-4496-AF48-E5B2D92CCB5A}" xr6:coauthVersionLast="40" xr6:coauthVersionMax="40" xr10:uidLastSave="{00000000-0000-0000-0000-000000000000}"/>
  <bookViews>
    <workbookView xWindow="-120" yWindow="-120" windowWidth="21840" windowHeight="13290" tabRatio="891" activeTab="1" xr2:uid="{00000000-000D-0000-FFFF-FFFF00000000}"/>
  </bookViews>
  <sheets>
    <sheet name="เกณฑ์การปันส่วน สศก. ปี 61" sheetId="66" r:id="rId1"/>
    <sheet name="ตารางที่ 1ข้อมูลจากPro-ปี61 ไม่" sheetId="4" r:id="rId2"/>
    <sheet name="ต.2=กระจาย ต.1สู่ ต.2-ปี61" sheetId="30" r:id="rId3"/>
    <sheet name="ตารางที่3 จาก ต.2-สูตร-ปี61ฐาน" sheetId="57" r:id="rId4"/>
    <sheet name="ข้อมูล ต.3-505,708,709ไป สนน." sheetId="6" r:id="rId5"/>
    <sheet name="ต.ที่ 4-จาก ต.5-61-กิจกรรมหลัก " sheetId="15" r:id="rId6"/>
    <sheet name="ปัน ก.สนับ ให้ ก.หลัก- ต.5 ไม่" sheetId="52" r:id="rId7"/>
    <sheet name="ต.5 ถั่ว-สนับสนุนให้ กก หลัก-61" sheetId="9" r:id="rId8"/>
    <sheet name="ต. 6 ผลผลิตหลัก-จาก ต.4-61 " sheetId="18" r:id="rId9"/>
    <sheet name="ต.7เทียบ-60-61-กก.ย่อย จาก ต.3 " sheetId="20" r:id="rId10"/>
    <sheet name="ต. 7-วิเคราะห์-ปี61-" sheetId="49" r:id="rId11"/>
    <sheet name="ต. 8กิจกรรมหลัก ต.4-60-61" sheetId="21" r:id="rId12"/>
    <sheet name="ตารางที่ 8-วิเคราะห์-ปี61 ไม่" sheetId="27" r:id="rId13"/>
    <sheet name="ต. 9ผลผลิตย่อย-จาก ต.5-60 ไม่" sheetId="22" r:id="rId14"/>
    <sheet name="ตารางที่ 9-วิเคราะห์-ปี60 ไม่" sheetId="34" r:id="rId15"/>
    <sheet name="ต. 10 ผลผลิต-จาก ต.6-60 ไม่" sheetId="23" r:id="rId16"/>
    <sheet name="ตารางที่ 10-วิเคราะห์-60 ไม่" sheetId="35" r:id="rId17"/>
    <sheet name="ตารางที่ 11-ปี 60 จาก ต.2 ไม่" sheetId="24" r:id="rId18"/>
    <sheet name="ตารางที่ 11-วิเคราะห์-ปี59 ไม่" sheetId="36" r:id="rId19"/>
    <sheet name="ตารางที่ 12-ปี60 ไม่" sheetId="25" r:id="rId20"/>
    <sheet name="ตารางที่ 12 แยก ปี 60 ไม่" sheetId="33" r:id="rId21"/>
    <sheet name="ตารางที่ 12-วิเคราะห์-ปี60 ไม่" sheetId="37" r:id="rId22"/>
  </sheets>
  <externalReferences>
    <externalReference r:id="rId23"/>
    <externalReference r:id="rId24"/>
    <externalReference r:id="rId25"/>
    <externalReference r:id="rId26"/>
  </externalReferences>
  <definedNames>
    <definedName name="_xlnm.Print_Area" localSheetId="4">'ข้อมูล ต.3-505,708,709ไป สนน.'!$A$1:$K$83</definedName>
    <definedName name="_xlnm.Print_Area" localSheetId="15">'ต. 10 ผลผลิต-จาก ต.6-60 ไม่'!$A$1:$R$17</definedName>
    <definedName name="_xlnm.Print_Area" localSheetId="8">'ต. 6 ผลผลิตหลัก-จาก ต.4-61 '!$A$1:$J$15</definedName>
    <definedName name="_xlnm.Print_Area" localSheetId="10">'ต. 7-วิเคราะห์-ปี61-'!$A$1:$C$20</definedName>
    <definedName name="_xlnm.Print_Area" localSheetId="11">'ต. 8กิจกรรมหลัก ต.4-60-61'!$A$1:$R$21</definedName>
    <definedName name="_xlnm.Print_Area" localSheetId="13">'ต. 9ผลผลิตย่อย-จาก ต.5-60 ไม่'!$A$1:$U$52</definedName>
    <definedName name="_xlnm.Print_Area" localSheetId="2">'ต.2=กระจาย ต.1สู่ ต.2-ปี61'!$A$1:$U$28</definedName>
    <definedName name="_xlnm.Print_Area" localSheetId="7">'ต.5 ถั่ว-สนับสนุนให้ กก หลัก-61'!$A$1:$J$52</definedName>
    <definedName name="_xlnm.Print_Area" localSheetId="9">'ต.7เทียบ-60-61-กก.ย่อย จาก ต.3 '!$A$1:$W$87</definedName>
    <definedName name="_xlnm.Print_Area" localSheetId="5">'ต.ที่ 4-จาก ต.5-61-กิจกรรมหลัก '!$A$1:$K$20</definedName>
    <definedName name="_xlnm.Print_Area" localSheetId="16">'ตารางที่ 10-วิเคราะห์-60 ไม่'!$A$1:$C$12</definedName>
    <definedName name="_xlnm.Print_Area" localSheetId="17">'ตารางที่ 11-ปี 60 จาก ต.2 ไม่'!$A$1:$Y$18</definedName>
    <definedName name="_xlnm.Print_Area" localSheetId="18">'ตารางที่ 11-วิเคราะห์-ปี59 ไม่'!$A$1:$D$12</definedName>
    <definedName name="_xlnm.Print_Area" localSheetId="20">'ตารางที่ 12 แยก ปี 60 ไม่'!$A$1:$M$29</definedName>
    <definedName name="_xlnm.Print_Area" localSheetId="19">'ตารางที่ 12-ปี60 ไม่'!$A$1:$K$14</definedName>
    <definedName name="_xlnm.Print_Area" localSheetId="21">'ตารางที่ 12-วิเคราะห์-ปี60 ไม่'!$A$1:$B$11</definedName>
    <definedName name="_xlnm.Print_Area" localSheetId="1">'ตารางที่ 1ข้อมูลจากPro-ปี61 ไม่'!$A$1:$G$47</definedName>
    <definedName name="_xlnm.Print_Area" localSheetId="12">'ตารางที่ 8-วิเคราะห์-ปี61 ไม่'!$A$1:$C$7</definedName>
    <definedName name="_xlnm.Print_Area" localSheetId="14">'ตารางที่ 9-วิเคราะห์-ปี60 ไม่'!$A$1:$C$11</definedName>
    <definedName name="_xlnm.Print_Area" localSheetId="3">'ตารางที่3 จาก ต.2-สูตร-ปี61ฐาน'!$A$1:$L$85</definedName>
    <definedName name="_xlnm.Print_Area" localSheetId="6">'ปัน ก.สนับ ให้ ก.หลัก- ต.5 ไม่'!$A$1:$L$70</definedName>
    <definedName name="_xlnm.Print_Titles" localSheetId="4">'ข้อมูล ต.3-505,708,709ไป สนน.'!$1:$3</definedName>
    <definedName name="_xlnm.Print_Titles" localSheetId="10">'ต. 7-วิเคราะห์-ปี61-'!$3:$3</definedName>
    <definedName name="_xlnm.Print_Titles" localSheetId="11">'ต. 8กิจกรรมหลัก ต.4-60-61'!$3:$4</definedName>
    <definedName name="_xlnm.Print_Titles" localSheetId="13">'ต. 9ผลผลิตย่อย-จาก ต.5-60 ไม่'!$1:$4</definedName>
    <definedName name="_xlnm.Print_Titles" localSheetId="7">'ต.5 ถั่ว-สนับสนุนให้ กก หลัก-61'!$1:$3</definedName>
    <definedName name="_xlnm.Print_Titles" localSheetId="9">'ต.7เทียบ-60-61-กก.ย่อย จาก ต.3 '!$2:$4</definedName>
    <definedName name="_xlnm.Print_Titles" localSheetId="16">'ตารางที่ 10-วิเคราะห์-60 ไม่'!$1:$3</definedName>
    <definedName name="_xlnm.Print_Titles" localSheetId="18">'ตารางที่ 11-วิเคราะห์-ปี59 ไม่'!$1:$5</definedName>
    <definedName name="_xlnm.Print_Titles" localSheetId="21">'ตารางที่ 12-วิเคราะห์-ปี60 ไม่'!$1:$5</definedName>
    <definedName name="_xlnm.Print_Titles" localSheetId="12">'ตารางที่ 8-วิเคราะห์-ปี61 ไม่'!$1:$3</definedName>
    <definedName name="_xlnm.Print_Titles" localSheetId="14">'ตารางที่ 9-วิเคราะห์-ปี60 ไม่'!$1:$3</definedName>
    <definedName name="_xlnm.Print_Titles" localSheetId="3">'ตารางที่3 จาก ต.2-สูตร-ปี61ฐาน'!$1:$3</definedName>
    <definedName name="_xlnm.Print_Titles" localSheetId="6">'ปัน ก.สนับ ให้ ก.หลัก- ต.5 ไม่'!$3:$4</definedName>
  </definedNames>
  <calcPr calcId="181029"/>
</workbook>
</file>

<file path=xl/calcChain.xml><?xml version="1.0" encoding="utf-8"?>
<calcChain xmlns="http://schemas.openxmlformats.org/spreadsheetml/2006/main">
  <c r="F48" i="66" l="1"/>
  <c r="H46" i="66" s="1"/>
  <c r="H47" i="66"/>
  <c r="H44" i="66"/>
  <c r="H43" i="66"/>
  <c r="H40" i="66"/>
  <c r="H39" i="66"/>
  <c r="F36" i="66"/>
  <c r="H35" i="66"/>
  <c r="H34" i="66"/>
  <c r="F32" i="66"/>
  <c r="H31" i="66"/>
  <c r="H30" i="66"/>
  <c r="H29" i="66"/>
  <c r="H28" i="66"/>
  <c r="H27" i="66"/>
  <c r="H26" i="66"/>
  <c r="F24" i="66"/>
  <c r="H23" i="66" s="1"/>
  <c r="H20" i="66"/>
  <c r="F17" i="66"/>
  <c r="H16" i="66"/>
  <c r="H15" i="66"/>
  <c r="F13" i="66"/>
  <c r="H12" i="66"/>
  <c r="H11" i="66"/>
  <c r="H10" i="66"/>
  <c r="H9" i="66"/>
  <c r="F7" i="66"/>
  <c r="H4" i="66" s="1"/>
  <c r="H6" i="66"/>
  <c r="H5" i="66"/>
  <c r="H3" i="66"/>
  <c r="H21" i="66" l="1"/>
  <c r="H22" i="66"/>
  <c r="H41" i="66"/>
  <c r="H45" i="66"/>
  <c r="H19" i="66"/>
  <c r="H38" i="66"/>
  <c r="H42" i="66"/>
  <c r="E25" i="9" l="1"/>
  <c r="D25" i="9"/>
  <c r="C25" i="9"/>
  <c r="E24" i="9"/>
  <c r="D24" i="9"/>
  <c r="C24" i="9"/>
  <c r="L69" i="52" l="1"/>
  <c r="L70" i="52"/>
  <c r="J10" i="24" l="1"/>
  <c r="K10" i="24" s="1"/>
  <c r="J11" i="24"/>
  <c r="K11" i="24" s="1"/>
  <c r="J12" i="24"/>
  <c r="K12" i="24" s="1"/>
  <c r="J13" i="24"/>
  <c r="K13" i="24" s="1"/>
  <c r="J14" i="24"/>
  <c r="K14" i="24" s="1"/>
  <c r="C5" i="22" l="1"/>
  <c r="Q23" i="24" l="1"/>
  <c r="E5" i="20" l="1"/>
  <c r="F19" i="20"/>
  <c r="G19" i="20"/>
  <c r="H19" i="20"/>
  <c r="E19" i="20"/>
  <c r="F25" i="20"/>
  <c r="G25" i="20"/>
  <c r="H25" i="20"/>
  <c r="E25" i="20"/>
  <c r="F40" i="20"/>
  <c r="G40" i="20"/>
  <c r="H40" i="20"/>
  <c r="E40" i="20"/>
  <c r="F51" i="20"/>
  <c r="G51" i="20"/>
  <c r="H51" i="20"/>
  <c r="E51" i="20"/>
  <c r="H59" i="20"/>
  <c r="F59" i="20"/>
  <c r="G59" i="20"/>
  <c r="E59" i="20"/>
  <c r="F64" i="20"/>
  <c r="G64" i="20"/>
  <c r="H64" i="20"/>
  <c r="E64" i="20"/>
  <c r="K81" i="20"/>
  <c r="K80" i="20"/>
  <c r="K79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H81" i="20"/>
  <c r="H80" i="20"/>
  <c r="H79" i="20"/>
  <c r="H78" i="20"/>
  <c r="H77" i="20"/>
  <c r="H76" i="20"/>
  <c r="H75" i="20"/>
  <c r="H74" i="20"/>
  <c r="H73" i="20"/>
  <c r="H72" i="20"/>
  <c r="H71" i="20"/>
  <c r="H70" i="20"/>
  <c r="H69" i="20"/>
  <c r="H68" i="20"/>
  <c r="H67" i="20"/>
  <c r="H66" i="20"/>
  <c r="H65" i="20"/>
  <c r="H60" i="20"/>
  <c r="H63" i="20"/>
  <c r="H62" i="20"/>
  <c r="H61" i="20"/>
  <c r="H58" i="20"/>
  <c r="H57" i="20"/>
  <c r="H56" i="20"/>
  <c r="H55" i="20"/>
  <c r="H54" i="20"/>
  <c r="H53" i="20"/>
  <c r="H52" i="20"/>
  <c r="H41" i="20"/>
  <c r="H50" i="20"/>
  <c r="H49" i="20"/>
  <c r="H48" i="20"/>
  <c r="H47" i="20"/>
  <c r="H46" i="20"/>
  <c r="H45" i="20"/>
  <c r="H44" i="20"/>
  <c r="H43" i="20"/>
  <c r="H42" i="20"/>
  <c r="K23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K24" i="20"/>
  <c r="K22" i="20"/>
  <c r="K21" i="20"/>
  <c r="K20" i="20"/>
  <c r="H24" i="20"/>
  <c r="H23" i="20"/>
  <c r="H22" i="20"/>
  <c r="H21" i="20"/>
  <c r="H20" i="20"/>
  <c r="H18" i="20"/>
  <c r="K16" i="20"/>
  <c r="K15" i="20"/>
  <c r="K14" i="20"/>
  <c r="K13" i="20"/>
  <c r="K12" i="20"/>
  <c r="K11" i="20"/>
  <c r="K10" i="20"/>
  <c r="K9" i="20"/>
  <c r="K8" i="20"/>
  <c r="K7" i="20"/>
  <c r="K6" i="20"/>
  <c r="H16" i="20"/>
  <c r="H15" i="20"/>
  <c r="H14" i="20"/>
  <c r="H13" i="20"/>
  <c r="H12" i="20"/>
  <c r="H11" i="20"/>
  <c r="H10" i="20"/>
  <c r="H9" i="20"/>
  <c r="H8" i="20"/>
  <c r="H7" i="20"/>
  <c r="H6" i="20"/>
  <c r="N28" i="57" l="1"/>
  <c r="N29" i="57"/>
  <c r="N30" i="57"/>
  <c r="N31" i="57"/>
  <c r="N32" i="57"/>
  <c r="N33" i="57"/>
  <c r="N34" i="57"/>
  <c r="N35" i="57"/>
  <c r="N36" i="57"/>
  <c r="N37" i="57"/>
  <c r="N38" i="57"/>
  <c r="N39" i="57"/>
  <c r="N40" i="57"/>
  <c r="N27" i="57"/>
  <c r="E19" i="21"/>
  <c r="N67" i="57"/>
  <c r="E67" i="9"/>
  <c r="E58" i="9"/>
  <c r="H23" i="33"/>
  <c r="H21" i="33"/>
  <c r="H19" i="33"/>
  <c r="H27" i="33"/>
  <c r="K12" i="57"/>
  <c r="K8" i="57"/>
  <c r="P6" i="57"/>
  <c r="P5" i="57" s="1"/>
  <c r="N5" i="23"/>
  <c r="N6" i="23"/>
  <c r="N7" i="23"/>
  <c r="N8" i="23"/>
  <c r="N10" i="23"/>
  <c r="N11" i="23"/>
  <c r="N12" i="23"/>
  <c r="N13" i="23"/>
  <c r="N14" i="23"/>
  <c r="N15" i="23"/>
  <c r="M15" i="23"/>
  <c r="M14" i="23"/>
  <c r="Q14" i="23" s="1"/>
  <c r="M13" i="23"/>
  <c r="M12" i="23"/>
  <c r="M11" i="23"/>
  <c r="M10" i="23"/>
  <c r="M8" i="23"/>
  <c r="M7" i="23"/>
  <c r="M6" i="23"/>
  <c r="M5" i="23"/>
  <c r="N5" i="21"/>
  <c r="N6" i="21"/>
  <c r="N7" i="21"/>
  <c r="N8" i="21"/>
  <c r="N9" i="21"/>
  <c r="N10" i="21"/>
  <c r="N11" i="21"/>
  <c r="N12" i="21"/>
  <c r="N13" i="21"/>
  <c r="N15" i="21"/>
  <c r="N16" i="21"/>
  <c r="N17" i="21"/>
  <c r="N18" i="21"/>
  <c r="N19" i="21"/>
  <c r="M19" i="21"/>
  <c r="Q19" i="21" s="1"/>
  <c r="M18" i="21"/>
  <c r="M17" i="21"/>
  <c r="M16" i="21"/>
  <c r="Q16" i="21"/>
  <c r="M15" i="21"/>
  <c r="Q15" i="21" s="1"/>
  <c r="M13" i="21"/>
  <c r="M12" i="21"/>
  <c r="Q12" i="21" s="1"/>
  <c r="M11" i="21"/>
  <c r="M10" i="21"/>
  <c r="Q10" i="21" s="1"/>
  <c r="M9" i="21"/>
  <c r="M8" i="21"/>
  <c r="Q8" i="21" s="1"/>
  <c r="M7" i="21"/>
  <c r="Q7" i="21" s="1"/>
  <c r="Q6" i="21"/>
  <c r="M5" i="21"/>
  <c r="L66" i="20"/>
  <c r="M66" i="20"/>
  <c r="L67" i="20"/>
  <c r="M67" i="20"/>
  <c r="L68" i="20"/>
  <c r="M68" i="20"/>
  <c r="L69" i="20"/>
  <c r="M69" i="20"/>
  <c r="L70" i="20"/>
  <c r="M70" i="20"/>
  <c r="L71" i="20"/>
  <c r="M71" i="20"/>
  <c r="L72" i="20"/>
  <c r="M72" i="20"/>
  <c r="L73" i="20"/>
  <c r="M73" i="20"/>
  <c r="L74" i="20"/>
  <c r="M74" i="20"/>
  <c r="L75" i="20"/>
  <c r="M75" i="20"/>
  <c r="L76" i="20"/>
  <c r="M76" i="20"/>
  <c r="L77" i="20"/>
  <c r="M77" i="20"/>
  <c r="L78" i="20"/>
  <c r="M78" i="20"/>
  <c r="L79" i="20"/>
  <c r="M79" i="20"/>
  <c r="L80" i="20"/>
  <c r="M80" i="20"/>
  <c r="L81" i="20"/>
  <c r="M81" i="20"/>
  <c r="M65" i="20"/>
  <c r="L65" i="20"/>
  <c r="L61" i="20"/>
  <c r="M61" i="20"/>
  <c r="L62" i="20"/>
  <c r="M62" i="20"/>
  <c r="L63" i="20"/>
  <c r="M63" i="20"/>
  <c r="M60" i="20"/>
  <c r="L60" i="20"/>
  <c r="M58" i="20"/>
  <c r="L58" i="20"/>
  <c r="M57" i="20"/>
  <c r="L57" i="20"/>
  <c r="M56" i="20"/>
  <c r="L56" i="20"/>
  <c r="M55" i="20"/>
  <c r="L55" i="20"/>
  <c r="M54" i="20"/>
  <c r="L54" i="20"/>
  <c r="M53" i="20"/>
  <c r="L53" i="20"/>
  <c r="M52" i="20"/>
  <c r="L52" i="20"/>
  <c r="R45" i="20"/>
  <c r="V45" i="20" s="1"/>
  <c r="L42" i="20"/>
  <c r="M42" i="20"/>
  <c r="L43" i="20"/>
  <c r="M43" i="20"/>
  <c r="L44" i="20"/>
  <c r="M44" i="20"/>
  <c r="L45" i="20"/>
  <c r="M45" i="20"/>
  <c r="L46" i="20"/>
  <c r="M46" i="20"/>
  <c r="L47" i="20"/>
  <c r="M47" i="20"/>
  <c r="L48" i="20"/>
  <c r="M48" i="20"/>
  <c r="L49" i="20"/>
  <c r="M49" i="20"/>
  <c r="L50" i="20"/>
  <c r="M50" i="20"/>
  <c r="M41" i="20"/>
  <c r="L41" i="20"/>
  <c r="L27" i="20"/>
  <c r="M27" i="20"/>
  <c r="L28" i="20"/>
  <c r="M28" i="20"/>
  <c r="L29" i="20"/>
  <c r="M29" i="20"/>
  <c r="L30" i="20"/>
  <c r="M30" i="20"/>
  <c r="L31" i="20"/>
  <c r="M31" i="20"/>
  <c r="L32" i="20"/>
  <c r="M32" i="20"/>
  <c r="L33" i="20"/>
  <c r="M33" i="20"/>
  <c r="L34" i="20"/>
  <c r="M34" i="20"/>
  <c r="L35" i="20"/>
  <c r="M35" i="20"/>
  <c r="L36" i="20"/>
  <c r="M36" i="20"/>
  <c r="L37" i="20"/>
  <c r="M37" i="20"/>
  <c r="L38" i="20"/>
  <c r="M38" i="20"/>
  <c r="L39" i="20"/>
  <c r="M39" i="20"/>
  <c r="M26" i="20"/>
  <c r="L26" i="20"/>
  <c r="L21" i="20"/>
  <c r="M21" i="20"/>
  <c r="L22" i="20"/>
  <c r="M22" i="20"/>
  <c r="L23" i="20"/>
  <c r="M23" i="20"/>
  <c r="L24" i="20"/>
  <c r="M24" i="20"/>
  <c r="M20" i="20"/>
  <c r="L20" i="20"/>
  <c r="M18" i="20"/>
  <c r="L18" i="20"/>
  <c r="L7" i="20"/>
  <c r="M7" i="20"/>
  <c r="L8" i="20"/>
  <c r="M8" i="20"/>
  <c r="L9" i="20"/>
  <c r="M9" i="20"/>
  <c r="L10" i="20"/>
  <c r="M10" i="20"/>
  <c r="L11" i="20"/>
  <c r="M11" i="20"/>
  <c r="L12" i="20"/>
  <c r="M12" i="20"/>
  <c r="L13" i="20"/>
  <c r="M13" i="20"/>
  <c r="L14" i="20"/>
  <c r="M14" i="20"/>
  <c r="L15" i="20"/>
  <c r="M15" i="20"/>
  <c r="L16" i="20"/>
  <c r="M16" i="20"/>
  <c r="M6" i="20"/>
  <c r="L6" i="20"/>
  <c r="R9" i="20"/>
  <c r="J79" i="6"/>
  <c r="J78" i="6"/>
  <c r="H79" i="6"/>
  <c r="S78" i="20" s="1"/>
  <c r="H78" i="6"/>
  <c r="S77" i="20"/>
  <c r="G78" i="6"/>
  <c r="R77" i="20" s="1"/>
  <c r="V77" i="20" s="1"/>
  <c r="J77" i="6"/>
  <c r="J76" i="6"/>
  <c r="J75" i="6"/>
  <c r="J74" i="6"/>
  <c r="J73" i="6"/>
  <c r="J72" i="6"/>
  <c r="J71" i="6"/>
  <c r="J70" i="6"/>
  <c r="J69" i="6"/>
  <c r="J68" i="6"/>
  <c r="J67" i="6"/>
  <c r="J66" i="6"/>
  <c r="H77" i="6"/>
  <c r="S76" i="20" s="1"/>
  <c r="G77" i="6"/>
  <c r="R76" i="20"/>
  <c r="H76" i="6"/>
  <c r="S75" i="20" s="1"/>
  <c r="G76" i="6"/>
  <c r="R75" i="20"/>
  <c r="V75" i="20"/>
  <c r="H75" i="6"/>
  <c r="S74" i="20" s="1"/>
  <c r="G75" i="6"/>
  <c r="R74" i="20"/>
  <c r="V74" i="20" s="1"/>
  <c r="H74" i="6"/>
  <c r="S73" i="20" s="1"/>
  <c r="G74" i="6"/>
  <c r="R73" i="20" s="1"/>
  <c r="V73" i="20" s="1"/>
  <c r="H73" i="6"/>
  <c r="S72" i="20"/>
  <c r="G73" i="6"/>
  <c r="R72" i="20" s="1"/>
  <c r="V72" i="20" s="1"/>
  <c r="H72" i="6"/>
  <c r="S71" i="20"/>
  <c r="G72" i="6"/>
  <c r="R71" i="20" s="1"/>
  <c r="V71" i="20" s="1"/>
  <c r="H71" i="6"/>
  <c r="S70" i="20" s="1"/>
  <c r="G71" i="6"/>
  <c r="R70" i="20"/>
  <c r="H70" i="6"/>
  <c r="S69" i="20" s="1"/>
  <c r="G70" i="6"/>
  <c r="R69" i="20"/>
  <c r="V69" i="20" s="1"/>
  <c r="H69" i="6"/>
  <c r="S68" i="20" s="1"/>
  <c r="G69" i="6"/>
  <c r="R68" i="20"/>
  <c r="V68" i="20" s="1"/>
  <c r="H68" i="6"/>
  <c r="S67" i="20" s="1"/>
  <c r="G68" i="6"/>
  <c r="R67" i="20"/>
  <c r="V67" i="20" s="1"/>
  <c r="H67" i="6"/>
  <c r="S66" i="20" s="1"/>
  <c r="G67" i="6"/>
  <c r="R66" i="20" s="1"/>
  <c r="V66" i="20" s="1"/>
  <c r="H66" i="6"/>
  <c r="S65" i="20"/>
  <c r="G66" i="6"/>
  <c r="R65" i="20" s="1"/>
  <c r="V65" i="20" s="1"/>
  <c r="J62" i="6"/>
  <c r="K62" i="6"/>
  <c r="K60" i="6" s="1"/>
  <c r="J63" i="6"/>
  <c r="K63" i="6"/>
  <c r="J64" i="6"/>
  <c r="K64" i="6"/>
  <c r="K61" i="6"/>
  <c r="J61" i="6"/>
  <c r="K53" i="6"/>
  <c r="K54" i="6"/>
  <c r="K52" i="6" s="1"/>
  <c r="K55" i="6"/>
  <c r="K56" i="6"/>
  <c r="K57" i="6"/>
  <c r="K58" i="6"/>
  <c r="K59" i="6"/>
  <c r="J56" i="6"/>
  <c r="J57" i="6"/>
  <c r="J58" i="6"/>
  <c r="J52" i="6" s="1"/>
  <c r="J59" i="6"/>
  <c r="J55" i="6"/>
  <c r="J54" i="6"/>
  <c r="J53" i="6"/>
  <c r="K82" i="6"/>
  <c r="J82" i="6"/>
  <c r="K81" i="6"/>
  <c r="J81" i="6"/>
  <c r="K80" i="6"/>
  <c r="J80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K41" i="6" s="1"/>
  <c r="J43" i="6"/>
  <c r="K42" i="6"/>
  <c r="J42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K26" i="6" s="1"/>
  <c r="J28" i="6"/>
  <c r="K27" i="6"/>
  <c r="J27" i="6"/>
  <c r="J26" i="6" s="1"/>
  <c r="K24" i="6"/>
  <c r="J24" i="6"/>
  <c r="K23" i="6"/>
  <c r="J23" i="6"/>
  <c r="K22" i="6"/>
  <c r="J22" i="6"/>
  <c r="K21" i="6"/>
  <c r="J21" i="6"/>
  <c r="K20" i="6"/>
  <c r="K19" i="6" s="1"/>
  <c r="J20" i="6"/>
  <c r="K18" i="6"/>
  <c r="J18" i="6"/>
  <c r="J17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J16" i="6"/>
  <c r="K16" i="6"/>
  <c r="J6" i="6"/>
  <c r="G8" i="6"/>
  <c r="K6" i="57"/>
  <c r="K6" i="6"/>
  <c r="K5" i="6" s="1"/>
  <c r="Q18" i="21"/>
  <c r="J8" i="24"/>
  <c r="K8" i="24" s="1"/>
  <c r="A22" i="52"/>
  <c r="B22" i="52"/>
  <c r="A23" i="52"/>
  <c r="B23" i="52"/>
  <c r="A24" i="52"/>
  <c r="B24" i="52"/>
  <c r="A25" i="52"/>
  <c r="B25" i="52"/>
  <c r="A26" i="52"/>
  <c r="B26" i="52"/>
  <c r="D42" i="4"/>
  <c r="I43" i="4" s="1"/>
  <c r="D43" i="4"/>
  <c r="H82" i="6"/>
  <c r="S81" i="20" s="1"/>
  <c r="G82" i="6"/>
  <c r="R81" i="20"/>
  <c r="V81" i="20" s="1"/>
  <c r="H81" i="6"/>
  <c r="S80" i="20" s="1"/>
  <c r="G81" i="6"/>
  <c r="R80" i="20" s="1"/>
  <c r="V80" i="20" s="1"/>
  <c r="H80" i="6"/>
  <c r="S79" i="20" s="1"/>
  <c r="G80" i="6"/>
  <c r="R79" i="20"/>
  <c r="V79" i="20" s="1"/>
  <c r="G62" i="6"/>
  <c r="R61" i="20"/>
  <c r="V61" i="20" s="1"/>
  <c r="H62" i="6"/>
  <c r="S61" i="20" s="1"/>
  <c r="G63" i="6"/>
  <c r="G48" i="9" s="1"/>
  <c r="P50" i="22"/>
  <c r="T50" i="22" s="1"/>
  <c r="H63" i="6"/>
  <c r="S62" i="20" s="1"/>
  <c r="G64" i="6"/>
  <c r="R63" i="20"/>
  <c r="V63" i="20" s="1"/>
  <c r="H64" i="6"/>
  <c r="S63" i="20"/>
  <c r="H49" i="9"/>
  <c r="Q51" i="22" s="1"/>
  <c r="H61" i="6"/>
  <c r="S60" i="20"/>
  <c r="G61" i="6"/>
  <c r="R60" i="20" s="1"/>
  <c r="V60" i="20" s="1"/>
  <c r="H59" i="6"/>
  <c r="S58" i="20"/>
  <c r="G59" i="6"/>
  <c r="R58" i="20" s="1"/>
  <c r="V58" i="20" s="1"/>
  <c r="H58" i="6"/>
  <c r="S57" i="20" s="1"/>
  <c r="G58" i="6"/>
  <c r="R57" i="20"/>
  <c r="V57" i="20" s="1"/>
  <c r="H57" i="6"/>
  <c r="S56" i="20" s="1"/>
  <c r="G57" i="6"/>
  <c r="R56" i="20"/>
  <c r="V56" i="20" s="1"/>
  <c r="H56" i="6"/>
  <c r="S55" i="20"/>
  <c r="G56" i="6"/>
  <c r="R55" i="20" s="1"/>
  <c r="V55" i="20" s="1"/>
  <c r="H55" i="6"/>
  <c r="S54" i="20" s="1"/>
  <c r="G55" i="6"/>
  <c r="H54" i="6"/>
  <c r="S53" i="20"/>
  <c r="G54" i="6"/>
  <c r="G39" i="9" s="1"/>
  <c r="H53" i="6"/>
  <c r="S52" i="20"/>
  <c r="G53" i="6"/>
  <c r="H42" i="6"/>
  <c r="H43" i="6"/>
  <c r="H44" i="6"/>
  <c r="H45" i="6"/>
  <c r="S44" i="20" s="1"/>
  <c r="H46" i="6"/>
  <c r="S45" i="20"/>
  <c r="H47" i="6"/>
  <c r="H48" i="6"/>
  <c r="S47" i="20" s="1"/>
  <c r="H33" i="9"/>
  <c r="Q35" i="22" s="1"/>
  <c r="H49" i="6"/>
  <c r="S48" i="20" s="1"/>
  <c r="H50" i="6"/>
  <c r="H51" i="6"/>
  <c r="S50" i="20" s="1"/>
  <c r="G51" i="6"/>
  <c r="R50" i="20"/>
  <c r="V50" i="20" s="1"/>
  <c r="G50" i="6"/>
  <c r="R49" i="20" s="1"/>
  <c r="V49" i="20" s="1"/>
  <c r="G49" i="6"/>
  <c r="R48" i="20" s="1"/>
  <c r="V48" i="20" s="1"/>
  <c r="G48" i="6"/>
  <c r="R47" i="20"/>
  <c r="V47" i="20" s="1"/>
  <c r="G47" i="6"/>
  <c r="G46" i="6"/>
  <c r="G45" i="6"/>
  <c r="G44" i="6"/>
  <c r="G29" i="9" s="1"/>
  <c r="P31" i="22" s="1"/>
  <c r="T31" i="22"/>
  <c r="G43" i="6"/>
  <c r="G42" i="6"/>
  <c r="R41" i="20"/>
  <c r="G28" i="6"/>
  <c r="R27" i="20" s="1"/>
  <c r="V27" i="20" s="1"/>
  <c r="H28" i="6"/>
  <c r="S27" i="20" s="1"/>
  <c r="G29" i="6"/>
  <c r="R28" i="20" s="1"/>
  <c r="V28" i="20" s="1"/>
  <c r="H29" i="6"/>
  <c r="S28" i="20" s="1"/>
  <c r="G30" i="6"/>
  <c r="R29" i="20" s="1"/>
  <c r="V29" i="20" s="1"/>
  <c r="H30" i="6"/>
  <c r="S29" i="20"/>
  <c r="G31" i="6"/>
  <c r="R30" i="20" s="1"/>
  <c r="V30" i="20" s="1"/>
  <c r="H31" i="6"/>
  <c r="S30" i="20" s="1"/>
  <c r="G32" i="6"/>
  <c r="R31" i="20" s="1"/>
  <c r="H32" i="6"/>
  <c r="S31" i="20" s="1"/>
  <c r="G33" i="6"/>
  <c r="R32" i="20" s="1"/>
  <c r="V32" i="20" s="1"/>
  <c r="H33" i="6"/>
  <c r="S32" i="20" s="1"/>
  <c r="G34" i="6"/>
  <c r="R33" i="20"/>
  <c r="V33" i="20"/>
  <c r="H34" i="6"/>
  <c r="S33" i="20" s="1"/>
  <c r="G35" i="6"/>
  <c r="R34" i="20"/>
  <c r="H35" i="6"/>
  <c r="S34" i="20" s="1"/>
  <c r="G36" i="6"/>
  <c r="R35" i="20"/>
  <c r="V35" i="20" s="1"/>
  <c r="H36" i="6"/>
  <c r="S35" i="20" s="1"/>
  <c r="G37" i="6"/>
  <c r="R36" i="20" s="1"/>
  <c r="V36" i="20" s="1"/>
  <c r="H37" i="6"/>
  <c r="S36" i="20"/>
  <c r="G38" i="6"/>
  <c r="R37" i="20" s="1"/>
  <c r="V37" i="20" s="1"/>
  <c r="H38" i="6"/>
  <c r="S37" i="20" s="1"/>
  <c r="G39" i="6"/>
  <c r="R38" i="20" s="1"/>
  <c r="V38" i="20" s="1"/>
  <c r="H39" i="6"/>
  <c r="S38" i="20" s="1"/>
  <c r="G40" i="6"/>
  <c r="R39" i="20" s="1"/>
  <c r="V39" i="20" s="1"/>
  <c r="H40" i="6"/>
  <c r="S39" i="20" s="1"/>
  <c r="H27" i="6"/>
  <c r="S26" i="20"/>
  <c r="G27" i="6"/>
  <c r="R26" i="20" s="1"/>
  <c r="V26" i="20" s="1"/>
  <c r="G21" i="6"/>
  <c r="H21" i="6"/>
  <c r="G22" i="6"/>
  <c r="R22" i="20"/>
  <c r="V22" i="20" s="1"/>
  <c r="H22" i="6"/>
  <c r="G23" i="6"/>
  <c r="R23" i="20"/>
  <c r="V23" i="20" s="1"/>
  <c r="H23" i="6"/>
  <c r="G24" i="6"/>
  <c r="R24" i="20"/>
  <c r="V24" i="20" s="1"/>
  <c r="H24" i="6"/>
  <c r="H20" i="6"/>
  <c r="S20" i="20" s="1"/>
  <c r="G20" i="6"/>
  <c r="R20" i="20" s="1"/>
  <c r="V20" i="20" s="1"/>
  <c r="H18" i="6"/>
  <c r="S18" i="20"/>
  <c r="G18" i="6"/>
  <c r="R18" i="20" s="1"/>
  <c r="G7" i="6"/>
  <c r="R7" i="20"/>
  <c r="V7" i="20" s="1"/>
  <c r="H7" i="6"/>
  <c r="H8" i="6"/>
  <c r="H7" i="9"/>
  <c r="Q8" i="22"/>
  <c r="G9" i="6"/>
  <c r="G8" i="9"/>
  <c r="P9" i="22"/>
  <c r="T9" i="22"/>
  <c r="H9" i="6"/>
  <c r="S9" i="20" s="1"/>
  <c r="G10" i="6"/>
  <c r="R10" i="20" s="1"/>
  <c r="H10" i="6"/>
  <c r="S10" i="20" s="1"/>
  <c r="G11" i="6"/>
  <c r="H11" i="6"/>
  <c r="S11" i="20" s="1"/>
  <c r="G12" i="6"/>
  <c r="H12" i="6"/>
  <c r="S12" i="20"/>
  <c r="G13" i="6"/>
  <c r="R13" i="20" s="1"/>
  <c r="H13" i="6"/>
  <c r="S13" i="20"/>
  <c r="G14" i="6"/>
  <c r="H14" i="6"/>
  <c r="S14" i="20"/>
  <c r="G15" i="6"/>
  <c r="R15" i="20" s="1"/>
  <c r="V15" i="20" s="1"/>
  <c r="G13" i="9"/>
  <c r="P15" i="22" s="1"/>
  <c r="T15" i="22" s="1"/>
  <c r="H15" i="6"/>
  <c r="S15" i="20"/>
  <c r="H13" i="9"/>
  <c r="Q15" i="22" s="1"/>
  <c r="G16" i="6"/>
  <c r="R16" i="20"/>
  <c r="V16" i="20" s="1"/>
  <c r="H16" i="6"/>
  <c r="S16" i="20" s="1"/>
  <c r="H6" i="6"/>
  <c r="G6" i="6"/>
  <c r="R6" i="20"/>
  <c r="D5" i="57"/>
  <c r="C5" i="57"/>
  <c r="D101" i="57"/>
  <c r="D106" i="57"/>
  <c r="G81" i="57"/>
  <c r="G79" i="6"/>
  <c r="R78" i="20"/>
  <c r="V78" i="20" s="1"/>
  <c r="K78" i="6"/>
  <c r="K76" i="6"/>
  <c r="K74" i="6"/>
  <c r="K70" i="6"/>
  <c r="K68" i="6"/>
  <c r="J67" i="57"/>
  <c r="E67" i="57"/>
  <c r="E70" i="57"/>
  <c r="E68" i="6"/>
  <c r="P67" i="20" s="1"/>
  <c r="D67" i="57"/>
  <c r="D69" i="57"/>
  <c r="D67" i="6" s="1"/>
  <c r="C67" i="57"/>
  <c r="L62" i="57"/>
  <c r="K62" i="57"/>
  <c r="J62" i="57"/>
  <c r="L54" i="57"/>
  <c r="K54" i="57"/>
  <c r="J54" i="57"/>
  <c r="E54" i="57"/>
  <c r="D54" i="57"/>
  <c r="C54" i="57"/>
  <c r="L41" i="57"/>
  <c r="K41" i="57"/>
  <c r="J41" i="57"/>
  <c r="E41" i="57"/>
  <c r="E46" i="57"/>
  <c r="D41" i="57"/>
  <c r="C41" i="57"/>
  <c r="L26" i="57"/>
  <c r="K26" i="57"/>
  <c r="J26" i="57"/>
  <c r="E26" i="57"/>
  <c r="D26" i="57"/>
  <c r="C26" i="57"/>
  <c r="C34" i="57"/>
  <c r="L19" i="57"/>
  <c r="K19" i="57"/>
  <c r="J19" i="57"/>
  <c r="E19" i="57"/>
  <c r="E25" i="57" s="1"/>
  <c r="E80" i="6" s="1"/>
  <c r="P79" i="20" s="1"/>
  <c r="D19" i="57"/>
  <c r="C19" i="57"/>
  <c r="C22" i="57"/>
  <c r="J17" i="57"/>
  <c r="E17" i="57"/>
  <c r="D17" i="57"/>
  <c r="D18" i="57"/>
  <c r="C17" i="57"/>
  <c r="D13" i="57"/>
  <c r="D13" i="6" s="1"/>
  <c r="L12" i="57"/>
  <c r="D10" i="57"/>
  <c r="D10" i="6" s="1"/>
  <c r="O10" i="20"/>
  <c r="L8" i="57"/>
  <c r="J5" i="57"/>
  <c r="E5" i="57"/>
  <c r="E16" i="57"/>
  <c r="E16" i="6" s="1"/>
  <c r="P16" i="20" s="1"/>
  <c r="D8" i="57"/>
  <c r="D8" i="6"/>
  <c r="C8" i="57"/>
  <c r="C8" i="6" s="1"/>
  <c r="D27" i="57"/>
  <c r="D27" i="6"/>
  <c r="D31" i="57"/>
  <c r="D31" i="6" s="1"/>
  <c r="E55" i="57"/>
  <c r="E53" i="6" s="1"/>
  <c r="P52" i="20" s="1"/>
  <c r="E61" i="57"/>
  <c r="E59" i="6" s="1"/>
  <c r="I62" i="52"/>
  <c r="E60" i="57"/>
  <c r="E58" i="6" s="1"/>
  <c r="E57" i="57"/>
  <c r="E55" i="6"/>
  <c r="E56" i="57"/>
  <c r="E54" i="6" s="1"/>
  <c r="E8" i="57"/>
  <c r="E33" i="57"/>
  <c r="E33" i="6"/>
  <c r="D30" i="57"/>
  <c r="D30" i="6"/>
  <c r="O29" i="20"/>
  <c r="E58" i="57"/>
  <c r="E56" i="6" s="1"/>
  <c r="P55" i="20" s="1"/>
  <c r="E59" i="57"/>
  <c r="E57" i="6"/>
  <c r="C52" i="57"/>
  <c r="K56" i="20"/>
  <c r="K57" i="20"/>
  <c r="K58" i="20"/>
  <c r="Q15" i="23"/>
  <c r="Q20" i="21"/>
  <c r="Q9" i="23"/>
  <c r="E28" i="15"/>
  <c r="H28" i="15" s="1"/>
  <c r="E89" i="52"/>
  <c r="D89" i="52"/>
  <c r="K52" i="20"/>
  <c r="K53" i="20"/>
  <c r="K54" i="20"/>
  <c r="K55" i="20"/>
  <c r="B42" i="52"/>
  <c r="A42" i="52"/>
  <c r="B41" i="52"/>
  <c r="A41" i="52"/>
  <c r="C58" i="9"/>
  <c r="D29" i="30"/>
  <c r="D30" i="30" s="1"/>
  <c r="E29" i="30"/>
  <c r="P13" i="24"/>
  <c r="L18" i="30"/>
  <c r="R18" i="30" s="1"/>
  <c r="Q17" i="30"/>
  <c r="V19" i="30"/>
  <c r="V14" i="30"/>
  <c r="G29" i="30"/>
  <c r="F15" i="22"/>
  <c r="I15" i="22" s="1"/>
  <c r="F16" i="22"/>
  <c r="D5" i="22"/>
  <c r="E5" i="22"/>
  <c r="F44" i="22"/>
  <c r="I44" i="22" s="1"/>
  <c r="F45" i="22"/>
  <c r="I45" i="22" s="1"/>
  <c r="F46" i="22"/>
  <c r="I46" i="22" s="1"/>
  <c r="E39" i="22"/>
  <c r="C39" i="22"/>
  <c r="D39" i="22"/>
  <c r="F5" i="20"/>
  <c r="G5" i="20"/>
  <c r="H5" i="20"/>
  <c r="R16" i="24"/>
  <c r="M29" i="30"/>
  <c r="I29" i="30"/>
  <c r="H29" i="30"/>
  <c r="S19" i="24" s="1"/>
  <c r="F29" i="30"/>
  <c r="B29" i="30"/>
  <c r="Q25" i="30"/>
  <c r="L25" i="30"/>
  <c r="V24" i="30"/>
  <c r="L24" i="30"/>
  <c r="Q22" i="30"/>
  <c r="V22" i="30"/>
  <c r="L22" i="30"/>
  <c r="V21" i="30"/>
  <c r="V20" i="30"/>
  <c r="L20" i="30"/>
  <c r="Q19" i="30"/>
  <c r="F13" i="30"/>
  <c r="Q18" i="30"/>
  <c r="V18" i="30"/>
  <c r="V17" i="30"/>
  <c r="Q14" i="30"/>
  <c r="I13" i="30"/>
  <c r="R11" i="24"/>
  <c r="P11" i="24"/>
  <c r="T10" i="24"/>
  <c r="S10" i="24"/>
  <c r="Q10" i="24"/>
  <c r="R10" i="24"/>
  <c r="M10" i="24"/>
  <c r="S12" i="24"/>
  <c r="Q12" i="24"/>
  <c r="R12" i="24"/>
  <c r="O12" i="24"/>
  <c r="M12" i="24"/>
  <c r="W12" i="24" s="1"/>
  <c r="S9" i="24"/>
  <c r="Q9" i="24"/>
  <c r="R9" i="24"/>
  <c r="O9" i="24"/>
  <c r="T13" i="24"/>
  <c r="S13" i="24"/>
  <c r="Q13" i="24"/>
  <c r="R13" i="24"/>
  <c r="O13" i="24"/>
  <c r="T8" i="24"/>
  <c r="Q8" i="24"/>
  <c r="H24" i="33"/>
  <c r="J24" i="33"/>
  <c r="C12" i="4"/>
  <c r="D45" i="4"/>
  <c r="D44" i="4"/>
  <c r="D12" i="4"/>
  <c r="E12" i="4"/>
  <c r="E5" i="21"/>
  <c r="H5" i="21" s="1"/>
  <c r="E6" i="21"/>
  <c r="H6" i="21" s="1"/>
  <c r="E7" i="21"/>
  <c r="H7" i="21" s="1"/>
  <c r="E8" i="21"/>
  <c r="H8" i="21" s="1"/>
  <c r="E9" i="21"/>
  <c r="H9" i="21" s="1"/>
  <c r="E10" i="21"/>
  <c r="H10" i="21" s="1"/>
  <c r="F82" i="52"/>
  <c r="F83" i="52"/>
  <c r="F84" i="52"/>
  <c r="F85" i="52"/>
  <c r="F86" i="52"/>
  <c r="F87" i="52"/>
  <c r="F88" i="52"/>
  <c r="F81" i="52"/>
  <c r="F89" i="52" s="1"/>
  <c r="G35" i="9"/>
  <c r="P37" i="22" s="1"/>
  <c r="T37" i="22" s="1"/>
  <c r="N16" i="33"/>
  <c r="N18" i="33"/>
  <c r="N28" i="33"/>
  <c r="L19" i="24"/>
  <c r="J6" i="25"/>
  <c r="I5" i="25"/>
  <c r="E6" i="25"/>
  <c r="J16" i="24"/>
  <c r="K16" i="24" s="1"/>
  <c r="J9" i="24"/>
  <c r="K9" i="24" s="1"/>
  <c r="E8" i="23"/>
  <c r="H8" i="23" s="1"/>
  <c r="E5" i="23"/>
  <c r="H5" i="23" s="1"/>
  <c r="E9" i="23"/>
  <c r="H9" i="23" s="1"/>
  <c r="E6" i="23"/>
  <c r="H6" i="23" s="1"/>
  <c r="E10" i="23"/>
  <c r="H10" i="23" s="1"/>
  <c r="E11" i="23"/>
  <c r="H11" i="23" s="1"/>
  <c r="E12" i="23"/>
  <c r="H12" i="23" s="1"/>
  <c r="E7" i="23"/>
  <c r="H7" i="23" s="1"/>
  <c r="E13" i="23"/>
  <c r="H13" i="23" s="1"/>
  <c r="T13" i="22"/>
  <c r="F51" i="22"/>
  <c r="I51" i="22" s="1"/>
  <c r="F50" i="22"/>
  <c r="I50" i="22" s="1"/>
  <c r="F49" i="22"/>
  <c r="F48" i="22"/>
  <c r="I48" i="22" s="1"/>
  <c r="F43" i="22"/>
  <c r="I43" i="22" s="1"/>
  <c r="F42" i="22"/>
  <c r="I42" i="22" s="1"/>
  <c r="F41" i="22"/>
  <c r="I41" i="22" s="1"/>
  <c r="F40" i="22"/>
  <c r="I40" i="22" s="1"/>
  <c r="F38" i="22"/>
  <c r="I38" i="22" s="1"/>
  <c r="F37" i="22"/>
  <c r="F36" i="22"/>
  <c r="I36" i="22" s="1"/>
  <c r="F35" i="22"/>
  <c r="I35" i="22"/>
  <c r="F34" i="22"/>
  <c r="I34" i="22" s="1"/>
  <c r="F33" i="22"/>
  <c r="I33" i="22" s="1"/>
  <c r="F32" i="22"/>
  <c r="I32" i="22" s="1"/>
  <c r="F31" i="22"/>
  <c r="I31" i="22" s="1"/>
  <c r="F30" i="22"/>
  <c r="I30" i="22" s="1"/>
  <c r="F29" i="22"/>
  <c r="I29" i="22" s="1"/>
  <c r="F27" i="22"/>
  <c r="F26" i="22"/>
  <c r="I26" i="22" s="1"/>
  <c r="F24" i="22"/>
  <c r="I24" i="22" s="1"/>
  <c r="F23" i="22"/>
  <c r="I23" i="22" s="1"/>
  <c r="F22" i="22"/>
  <c r="I22" i="22"/>
  <c r="F21" i="22"/>
  <c r="I21" i="22" s="1"/>
  <c r="F20" i="22"/>
  <c r="F18" i="22"/>
  <c r="I18" i="22" s="1"/>
  <c r="F14" i="22"/>
  <c r="I14" i="22" s="1"/>
  <c r="F13" i="22"/>
  <c r="I13" i="22" s="1"/>
  <c r="F12" i="22"/>
  <c r="I12" i="22" s="1"/>
  <c r="F11" i="22"/>
  <c r="I11" i="22" s="1"/>
  <c r="F10" i="22"/>
  <c r="I10" i="22" s="1"/>
  <c r="F9" i="22"/>
  <c r="F8" i="22"/>
  <c r="I8" i="22" s="1"/>
  <c r="F7" i="22"/>
  <c r="F6" i="22"/>
  <c r="I6" i="22"/>
  <c r="Q13" i="21"/>
  <c r="Q17" i="21"/>
  <c r="Q14" i="21"/>
  <c r="Q9" i="21"/>
  <c r="E11" i="21"/>
  <c r="H11" i="21" s="1"/>
  <c r="E14" i="21"/>
  <c r="H14" i="21" s="1"/>
  <c r="E12" i="21"/>
  <c r="E15" i="21"/>
  <c r="H15" i="21" s="1"/>
  <c r="E16" i="21"/>
  <c r="H16" i="21" s="1"/>
  <c r="E17" i="21"/>
  <c r="H17" i="21" s="1"/>
  <c r="E13" i="21"/>
  <c r="H13" i="21" s="1"/>
  <c r="E18" i="21"/>
  <c r="H18" i="21" s="1"/>
  <c r="K62" i="20"/>
  <c r="K63" i="20"/>
  <c r="K43" i="20"/>
  <c r="K45" i="20"/>
  <c r="K49" i="20"/>
  <c r="K41" i="20"/>
  <c r="E5" i="25"/>
  <c r="V26" i="30"/>
  <c r="Q13" i="23"/>
  <c r="Q7" i="23"/>
  <c r="Q12" i="23"/>
  <c r="Q11" i="23"/>
  <c r="Q10" i="23"/>
  <c r="Q6" i="23"/>
  <c r="Q5" i="23"/>
  <c r="Q8" i="23"/>
  <c r="G43" i="9"/>
  <c r="P45" i="22" s="1"/>
  <c r="T45" i="22" s="1"/>
  <c r="H43" i="9"/>
  <c r="Q45" i="22" s="1"/>
  <c r="G44" i="9"/>
  <c r="P46" i="22" s="1"/>
  <c r="H44" i="9"/>
  <c r="Q46" i="22" s="1"/>
  <c r="H42" i="9"/>
  <c r="Q44" i="22" s="1"/>
  <c r="G42" i="9"/>
  <c r="P44" i="22" s="1"/>
  <c r="T44" i="22" s="1"/>
  <c r="A13" i="9"/>
  <c r="B13" i="9"/>
  <c r="A14" i="9"/>
  <c r="B14" i="9"/>
  <c r="A12" i="9"/>
  <c r="B12" i="9"/>
  <c r="B65" i="52"/>
  <c r="B66" i="52"/>
  <c r="B67" i="52"/>
  <c r="B68" i="52"/>
  <c r="A66" i="52"/>
  <c r="A67" i="52"/>
  <c r="A68" i="52"/>
  <c r="A65" i="52"/>
  <c r="A57" i="52"/>
  <c r="B57" i="52"/>
  <c r="A58" i="52"/>
  <c r="B58" i="52"/>
  <c r="A59" i="52"/>
  <c r="B59" i="52"/>
  <c r="A60" i="52"/>
  <c r="B60" i="52"/>
  <c r="A61" i="52"/>
  <c r="B61" i="52"/>
  <c r="A62" i="52"/>
  <c r="B62" i="52"/>
  <c r="B56" i="52"/>
  <c r="A56" i="52"/>
  <c r="A45" i="52"/>
  <c r="B45" i="52"/>
  <c r="A46" i="52"/>
  <c r="B46" i="52"/>
  <c r="A47" i="52"/>
  <c r="B47" i="52"/>
  <c r="A48" i="52"/>
  <c r="B48" i="52"/>
  <c r="A49" i="52"/>
  <c r="B49" i="52"/>
  <c r="A50" i="52"/>
  <c r="B50" i="52"/>
  <c r="A51" i="52"/>
  <c r="B51" i="52"/>
  <c r="A52" i="52"/>
  <c r="B52" i="52"/>
  <c r="A53" i="52"/>
  <c r="B53" i="52"/>
  <c r="B44" i="52"/>
  <c r="A44" i="52"/>
  <c r="A30" i="52"/>
  <c r="B30" i="52"/>
  <c r="A31" i="52"/>
  <c r="B31" i="52"/>
  <c r="A32" i="52"/>
  <c r="B32" i="52"/>
  <c r="A33" i="52"/>
  <c r="B33" i="52"/>
  <c r="A34" i="52"/>
  <c r="B34" i="52"/>
  <c r="A35" i="52"/>
  <c r="B35" i="52"/>
  <c r="A36" i="52"/>
  <c r="B36" i="52"/>
  <c r="A37" i="52"/>
  <c r="B37" i="52"/>
  <c r="A38" i="52"/>
  <c r="B38" i="52"/>
  <c r="A39" i="52"/>
  <c r="B39" i="52"/>
  <c r="A40" i="52"/>
  <c r="B40" i="52"/>
  <c r="B29" i="52"/>
  <c r="A29" i="52"/>
  <c r="B19" i="52"/>
  <c r="A19" i="52"/>
  <c r="A8" i="52"/>
  <c r="B8" i="52"/>
  <c r="A9" i="52"/>
  <c r="B9" i="52"/>
  <c r="A10" i="52"/>
  <c r="B10" i="52"/>
  <c r="A11" i="52"/>
  <c r="B11" i="52"/>
  <c r="A12" i="52"/>
  <c r="B12" i="52"/>
  <c r="A13" i="52"/>
  <c r="B13" i="52"/>
  <c r="A14" i="52"/>
  <c r="B14" i="52"/>
  <c r="A15" i="52"/>
  <c r="B15" i="52"/>
  <c r="A16" i="52"/>
  <c r="B16" i="52"/>
  <c r="B7" i="52"/>
  <c r="A7" i="52"/>
  <c r="K17" i="6"/>
  <c r="G36" i="9"/>
  <c r="P38" i="22" s="1"/>
  <c r="T38" i="22" s="1"/>
  <c r="H34" i="9"/>
  <c r="Q36" i="22" s="1"/>
  <c r="G9" i="9"/>
  <c r="P10" i="22"/>
  <c r="T10" i="22"/>
  <c r="G11" i="9"/>
  <c r="P12" i="22" s="1"/>
  <c r="T12" i="22" s="1"/>
  <c r="H14" i="9"/>
  <c r="Q16" i="22" s="1"/>
  <c r="F8" i="4"/>
  <c r="F10" i="4"/>
  <c r="F11" i="4"/>
  <c r="C67" i="9"/>
  <c r="B65" i="9"/>
  <c r="B64" i="9"/>
  <c r="B63" i="9"/>
  <c r="B62" i="9"/>
  <c r="B61" i="9"/>
  <c r="B17" i="23"/>
  <c r="B19" i="23" s="1"/>
  <c r="K7" i="33"/>
  <c r="C17" i="22"/>
  <c r="D17" i="22"/>
  <c r="E17" i="22"/>
  <c r="K18" i="20"/>
  <c r="N37" i="30"/>
  <c r="E28" i="22"/>
  <c r="D28" i="22"/>
  <c r="C28" i="22"/>
  <c r="F9" i="4"/>
  <c r="F5" i="4"/>
  <c r="D5" i="33"/>
  <c r="K12" i="33"/>
  <c r="O6" i="33"/>
  <c r="C19" i="22"/>
  <c r="C47" i="22"/>
  <c r="F17" i="20"/>
  <c r="H17" i="20" s="1"/>
  <c r="G17" i="20"/>
  <c r="L27" i="33"/>
  <c r="L25" i="33"/>
  <c r="L24" i="33"/>
  <c r="L23" i="33"/>
  <c r="L22" i="33"/>
  <c r="L21" i="33"/>
  <c r="L20" i="33"/>
  <c r="L19" i="33"/>
  <c r="K15" i="33"/>
  <c r="K13" i="33"/>
  <c r="K11" i="33"/>
  <c r="K10" i="33"/>
  <c r="K9" i="33"/>
  <c r="K8" i="33"/>
  <c r="K5" i="33"/>
  <c r="E27" i="33"/>
  <c r="E25" i="33"/>
  <c r="E24" i="33"/>
  <c r="E23" i="33"/>
  <c r="E22" i="33"/>
  <c r="M22" i="33" s="1"/>
  <c r="E21" i="33"/>
  <c r="E20" i="33"/>
  <c r="E19" i="33"/>
  <c r="E15" i="33"/>
  <c r="E13" i="33"/>
  <c r="E12" i="33"/>
  <c r="E11" i="33"/>
  <c r="M11" i="33" s="1"/>
  <c r="E10" i="33"/>
  <c r="E9" i="33"/>
  <c r="E8" i="33"/>
  <c r="E7" i="33"/>
  <c r="N7" i="33" s="1"/>
  <c r="E16" i="23"/>
  <c r="Q5" i="21"/>
  <c r="AC72" i="20"/>
  <c r="D17" i="33"/>
  <c r="E26" i="33"/>
  <c r="E17" i="33" s="1"/>
  <c r="E14" i="33"/>
  <c r="C29" i="33"/>
  <c r="C17" i="33"/>
  <c r="J14" i="33"/>
  <c r="N14" i="33" s="1"/>
  <c r="I17" i="33"/>
  <c r="L17" i="33" s="1"/>
  <c r="J26" i="33"/>
  <c r="C14" i="25"/>
  <c r="E14" i="25" s="1"/>
  <c r="E23" i="25" s="1"/>
  <c r="D14" i="25"/>
  <c r="B18" i="24"/>
  <c r="B20" i="24" s="1"/>
  <c r="C18" i="24"/>
  <c r="C20" i="24" s="1"/>
  <c r="D18" i="24"/>
  <c r="D20" i="24" s="1"/>
  <c r="E18" i="24"/>
  <c r="F18" i="24"/>
  <c r="F20" i="24" s="1"/>
  <c r="G18" i="24"/>
  <c r="G20" i="24" s="1"/>
  <c r="H18" i="24"/>
  <c r="H20" i="24" s="1"/>
  <c r="I18" i="24"/>
  <c r="I20" i="24" s="1"/>
  <c r="D19" i="22"/>
  <c r="E19" i="22"/>
  <c r="F19" i="22" s="1"/>
  <c r="C25" i="22"/>
  <c r="D25" i="22"/>
  <c r="E25" i="22"/>
  <c r="Q26" i="22"/>
  <c r="Q27" i="22"/>
  <c r="D47" i="22"/>
  <c r="E47" i="22"/>
  <c r="C21" i="21"/>
  <c r="C23" i="21" s="1"/>
  <c r="D21" i="21"/>
  <c r="D23" i="21" s="1"/>
  <c r="E17" i="20"/>
  <c r="B21" i="21"/>
  <c r="B23" i="21" s="1"/>
  <c r="C17" i="23"/>
  <c r="D17" i="23"/>
  <c r="D19" i="23" s="1"/>
  <c r="F6" i="4"/>
  <c r="P26" i="22"/>
  <c r="T26" i="22"/>
  <c r="P27" i="22"/>
  <c r="T27" i="22" s="1"/>
  <c r="B84" i="6"/>
  <c r="F7" i="4"/>
  <c r="F4" i="4"/>
  <c r="I49" i="22"/>
  <c r="I37" i="22"/>
  <c r="I27" i="22"/>
  <c r="K61" i="20"/>
  <c r="K42" i="20"/>
  <c r="K50" i="20"/>
  <c r="K47" i="20"/>
  <c r="K44" i="20"/>
  <c r="K48" i="20"/>
  <c r="K46" i="20"/>
  <c r="K60" i="20"/>
  <c r="L16" i="30"/>
  <c r="M16" i="24"/>
  <c r="W16" i="24" s="1"/>
  <c r="O29" i="30"/>
  <c r="V16" i="30"/>
  <c r="H13" i="30"/>
  <c r="N13" i="30"/>
  <c r="E62" i="57"/>
  <c r="E64" i="57"/>
  <c r="E62" i="6" s="1"/>
  <c r="T12" i="24"/>
  <c r="Q15" i="30"/>
  <c r="S11" i="24"/>
  <c r="E13" i="30"/>
  <c r="E28" i="30" s="1"/>
  <c r="Q16" i="24"/>
  <c r="K29" i="30"/>
  <c r="J29" i="30"/>
  <c r="V29" i="30" s="1"/>
  <c r="C29" i="30"/>
  <c r="N29" i="30"/>
  <c r="O10" i="24"/>
  <c r="P29" i="30"/>
  <c r="P10" i="24"/>
  <c r="P16" i="24"/>
  <c r="P12" i="24"/>
  <c r="P8" i="24"/>
  <c r="H30" i="9"/>
  <c r="Q32" i="22" s="1"/>
  <c r="N10" i="24"/>
  <c r="M8" i="24"/>
  <c r="W8" i="24" s="1"/>
  <c r="J21" i="33"/>
  <c r="N21" i="33"/>
  <c r="M11" i="24"/>
  <c r="W11" i="24" s="1"/>
  <c r="W10" i="24"/>
  <c r="I20" i="22"/>
  <c r="I9" i="22"/>
  <c r="V25" i="30"/>
  <c r="V7" i="30"/>
  <c r="I7" i="33"/>
  <c r="L7" i="33"/>
  <c r="V23" i="30"/>
  <c r="M13" i="24"/>
  <c r="W13" i="24" s="1"/>
  <c r="K24" i="33"/>
  <c r="M9" i="24"/>
  <c r="W9" i="24" s="1"/>
  <c r="L9" i="30"/>
  <c r="R9" i="30"/>
  <c r="O11" i="24"/>
  <c r="R25" i="30"/>
  <c r="O13" i="30"/>
  <c r="O28" i="30"/>
  <c r="Q16" i="30"/>
  <c r="M13" i="30"/>
  <c r="S16" i="24"/>
  <c r="P13" i="30"/>
  <c r="L7" i="30"/>
  <c r="R8" i="24"/>
  <c r="P9" i="24"/>
  <c r="N9" i="24"/>
  <c r="Q9" i="30"/>
  <c r="H20" i="33"/>
  <c r="L11" i="30"/>
  <c r="R11" i="30"/>
  <c r="Q11" i="30"/>
  <c r="K23" i="33"/>
  <c r="G13" i="30"/>
  <c r="Q14" i="24"/>
  <c r="N13" i="24"/>
  <c r="Q8" i="30"/>
  <c r="I9" i="33"/>
  <c r="V9" i="30"/>
  <c r="H22" i="33"/>
  <c r="K22" i="33"/>
  <c r="L15" i="30"/>
  <c r="R15" i="30" s="1"/>
  <c r="R22" i="30"/>
  <c r="J22" i="33"/>
  <c r="J19" i="33"/>
  <c r="K19" i="33"/>
  <c r="T11" i="24"/>
  <c r="N11" i="24"/>
  <c r="L12" i="30"/>
  <c r="R12" i="30"/>
  <c r="O8" i="24"/>
  <c r="S8" i="24"/>
  <c r="Q7" i="30"/>
  <c r="M28" i="30"/>
  <c r="L14" i="30"/>
  <c r="R14" i="30"/>
  <c r="N8" i="24"/>
  <c r="N12" i="24"/>
  <c r="Q10" i="30"/>
  <c r="R10" i="30" s="1"/>
  <c r="Q11" i="24"/>
  <c r="G28" i="30"/>
  <c r="I11" i="33"/>
  <c r="L11" i="33"/>
  <c r="V12" i="30"/>
  <c r="Q27" i="30"/>
  <c r="V10" i="30"/>
  <c r="I8" i="33"/>
  <c r="L8" i="33" s="1"/>
  <c r="L10" i="30"/>
  <c r="Q12" i="30"/>
  <c r="T27" i="30"/>
  <c r="T16" i="24"/>
  <c r="N28" i="30"/>
  <c r="V28" i="24" s="1"/>
  <c r="C13" i="30"/>
  <c r="L17" i="30"/>
  <c r="O16" i="24"/>
  <c r="S27" i="30"/>
  <c r="U27" i="30" s="1"/>
  <c r="D13" i="30"/>
  <c r="O14" i="24" s="1"/>
  <c r="L21" i="30"/>
  <c r="R21" i="30" s="1"/>
  <c r="L23" i="30"/>
  <c r="R23" i="30" s="1"/>
  <c r="B13" i="30"/>
  <c r="B28" i="30" s="1"/>
  <c r="V27" i="30"/>
  <c r="I15" i="33"/>
  <c r="L15" i="33" s="1"/>
  <c r="N16" i="24"/>
  <c r="L27" i="30"/>
  <c r="R27" i="30"/>
  <c r="I10" i="33"/>
  <c r="J10" i="33" s="1"/>
  <c r="V11" i="30"/>
  <c r="L8" i="30"/>
  <c r="R8" i="30"/>
  <c r="V8" i="30"/>
  <c r="I12" i="33"/>
  <c r="L12" i="33"/>
  <c r="T9" i="24"/>
  <c r="L19" i="30"/>
  <c r="R19" i="30" s="1"/>
  <c r="Q24" i="30"/>
  <c r="K13" i="30"/>
  <c r="J13" i="30"/>
  <c r="C62" i="57" s="1"/>
  <c r="V15" i="30"/>
  <c r="Q21" i="30"/>
  <c r="Q23" i="30"/>
  <c r="Q20" i="30"/>
  <c r="R20" i="30"/>
  <c r="L9" i="23"/>
  <c r="O9" i="23"/>
  <c r="R9" i="23" s="1"/>
  <c r="L14" i="21"/>
  <c r="K28" i="30"/>
  <c r="K30" i="30" s="1"/>
  <c r="J12" i="33"/>
  <c r="N12" i="33" s="1"/>
  <c r="J8" i="33"/>
  <c r="D28" i="30"/>
  <c r="O19" i="24" s="1"/>
  <c r="R7" i="30"/>
  <c r="K27" i="33"/>
  <c r="J27" i="33"/>
  <c r="L10" i="33"/>
  <c r="J15" i="33"/>
  <c r="N10" i="33"/>
  <c r="G14" i="9"/>
  <c r="P16" i="22" s="1"/>
  <c r="T16" i="22" s="1"/>
  <c r="H16" i="9"/>
  <c r="Q18" i="22" s="1"/>
  <c r="H18" i="9"/>
  <c r="Q20" i="22" s="1"/>
  <c r="H39" i="9"/>
  <c r="Q41" i="22"/>
  <c r="G33" i="9"/>
  <c r="P35" i="22" s="1"/>
  <c r="T35" i="22" s="1"/>
  <c r="L52" i="6"/>
  <c r="G18" i="9"/>
  <c r="P20" i="22" s="1"/>
  <c r="T20" i="22"/>
  <c r="G31" i="9"/>
  <c r="P33" i="22" s="1"/>
  <c r="T33" i="22" s="1"/>
  <c r="N38" i="30"/>
  <c r="R17" i="30"/>
  <c r="R16" i="30"/>
  <c r="K21" i="33"/>
  <c r="L17" i="6"/>
  <c r="I28" i="30"/>
  <c r="V26" i="24"/>
  <c r="J23" i="33"/>
  <c r="M23" i="33" s="1"/>
  <c r="J7" i="33"/>
  <c r="M21" i="33"/>
  <c r="N24" i="33"/>
  <c r="M24" i="33"/>
  <c r="M12" i="33"/>
  <c r="J11" i="33"/>
  <c r="L65" i="6"/>
  <c r="L5" i="6"/>
  <c r="L26" i="6"/>
  <c r="P9" i="23"/>
  <c r="R13" i="22"/>
  <c r="U13" i="22" s="1"/>
  <c r="S13" i="22"/>
  <c r="I16" i="22"/>
  <c r="G16" i="9"/>
  <c r="P18" i="22" s="1"/>
  <c r="T18" i="22" s="1"/>
  <c r="L41" i="6"/>
  <c r="L60" i="6"/>
  <c r="M41" i="6"/>
  <c r="M65" i="6"/>
  <c r="V31" i="20"/>
  <c r="H31" i="9"/>
  <c r="Q33" i="22" s="1"/>
  <c r="H12" i="9"/>
  <c r="Q14" i="22" s="1"/>
  <c r="G21" i="9"/>
  <c r="P23" i="22" s="1"/>
  <c r="T23" i="22" s="1"/>
  <c r="H38" i="9"/>
  <c r="Q40" i="22"/>
  <c r="H40" i="9"/>
  <c r="Q42" i="22" s="1"/>
  <c r="G49" i="9"/>
  <c r="P51" i="22"/>
  <c r="T51" i="22" s="1"/>
  <c r="G46" i="9"/>
  <c r="P48" i="22" s="1"/>
  <c r="T48" i="22" s="1"/>
  <c r="I56" i="52"/>
  <c r="G41" i="9"/>
  <c r="P43" i="22" s="1"/>
  <c r="T43" i="22" s="1"/>
  <c r="H46" i="9"/>
  <c r="Q48" i="22"/>
  <c r="C72" i="57"/>
  <c r="C18" i="57"/>
  <c r="C18" i="6"/>
  <c r="E72" i="57"/>
  <c r="E70" i="6" s="1"/>
  <c r="C25" i="57"/>
  <c r="C80" i="6"/>
  <c r="N79" i="20" s="1"/>
  <c r="C21" i="57"/>
  <c r="C21" i="6" s="1"/>
  <c r="N21" i="20"/>
  <c r="C23" i="57"/>
  <c r="C23" i="6" s="1"/>
  <c r="D28" i="57"/>
  <c r="D28" i="6"/>
  <c r="O27" i="20" s="1"/>
  <c r="F30" i="52"/>
  <c r="D37" i="57"/>
  <c r="D37" i="6" s="1"/>
  <c r="O36" i="20" s="1"/>
  <c r="F26" i="57"/>
  <c r="D33" i="57"/>
  <c r="D33" i="6" s="1"/>
  <c r="C61" i="57"/>
  <c r="C59" i="6" s="1"/>
  <c r="N58" i="20" s="1"/>
  <c r="G47" i="9"/>
  <c r="P49" i="22" s="1"/>
  <c r="T49" i="22" s="1"/>
  <c r="E51" i="57"/>
  <c r="D29" i="57"/>
  <c r="D29" i="6"/>
  <c r="O28" i="20"/>
  <c r="D34" i="57"/>
  <c r="D34" i="6" s="1"/>
  <c r="O33" i="20" s="1"/>
  <c r="E28" i="57"/>
  <c r="E28" i="6" s="1"/>
  <c r="E39" i="57"/>
  <c r="E39" i="6" s="1"/>
  <c r="P38" i="20" s="1"/>
  <c r="E27" i="57"/>
  <c r="E27" i="6" s="1"/>
  <c r="E31" i="57"/>
  <c r="E31" i="6" s="1"/>
  <c r="P30" i="20" s="1"/>
  <c r="D15" i="57"/>
  <c r="D15" i="6"/>
  <c r="D9" i="57"/>
  <c r="D9" i="6"/>
  <c r="D16" i="57"/>
  <c r="D16" i="6" s="1"/>
  <c r="D6" i="57"/>
  <c r="D6" i="6"/>
  <c r="O6" i="20" s="1"/>
  <c r="V6" i="20"/>
  <c r="G5" i="9"/>
  <c r="P6" i="22"/>
  <c r="T6" i="22" s="1"/>
  <c r="H10" i="9"/>
  <c r="Q11" i="22" s="1"/>
  <c r="H36" i="9"/>
  <c r="Q38" i="22"/>
  <c r="H47" i="9"/>
  <c r="Q49" i="22" s="1"/>
  <c r="D38" i="57"/>
  <c r="D38" i="6" s="1"/>
  <c r="E20" i="57"/>
  <c r="E20" i="6"/>
  <c r="I22" i="52" s="1"/>
  <c r="E21" i="57"/>
  <c r="E21" i="6" s="1"/>
  <c r="E24" i="57"/>
  <c r="E23" i="57"/>
  <c r="E23" i="6"/>
  <c r="P23" i="20" s="1"/>
  <c r="E22" i="57"/>
  <c r="E22" i="6" s="1"/>
  <c r="P22" i="20" s="1"/>
  <c r="C20" i="57"/>
  <c r="C20" i="6" s="1"/>
  <c r="C22" i="52" s="1"/>
  <c r="D36" i="57"/>
  <c r="D36" i="6"/>
  <c r="D40" i="57"/>
  <c r="D40" i="6" s="1"/>
  <c r="O39" i="20" s="1"/>
  <c r="E52" i="57"/>
  <c r="E50" i="6"/>
  <c r="E46" i="6"/>
  <c r="E47" i="57"/>
  <c r="E47" i="6"/>
  <c r="I49" i="52" s="1"/>
  <c r="E44" i="57"/>
  <c r="E44" i="6"/>
  <c r="P43" i="20" s="1"/>
  <c r="E42" i="57"/>
  <c r="E42" i="6" s="1"/>
  <c r="I44" i="52" s="1"/>
  <c r="C58" i="57"/>
  <c r="G6" i="9"/>
  <c r="P7" i="22" s="1"/>
  <c r="T7" i="22" s="1"/>
  <c r="E12" i="57"/>
  <c r="E12" i="6" s="1"/>
  <c r="E14" i="57"/>
  <c r="E14" i="6"/>
  <c r="P14" i="20" s="1"/>
  <c r="L5" i="57"/>
  <c r="C32" i="57"/>
  <c r="C36" i="57"/>
  <c r="E78" i="57"/>
  <c r="E76" i="6" s="1"/>
  <c r="E46" i="4"/>
  <c r="E47" i="4" s="1"/>
  <c r="D60" i="57"/>
  <c r="D58" i="6" s="1"/>
  <c r="F61" i="52" s="1"/>
  <c r="D53" i="57"/>
  <c r="D51" i="6" s="1"/>
  <c r="O50" i="20" s="1"/>
  <c r="D45" i="57"/>
  <c r="D45" i="6" s="1"/>
  <c r="D47" i="57"/>
  <c r="D47" i="6" s="1"/>
  <c r="O46" i="20" s="1"/>
  <c r="D48" i="57"/>
  <c r="D48" i="6"/>
  <c r="F41" i="57"/>
  <c r="D42" i="57"/>
  <c r="D42" i="6"/>
  <c r="D46" i="57"/>
  <c r="D46" i="6" s="1"/>
  <c r="D50" i="57"/>
  <c r="D81" i="6"/>
  <c r="O80" i="20" s="1"/>
  <c r="D44" i="57"/>
  <c r="D43" i="57"/>
  <c r="D52" i="57"/>
  <c r="D51" i="57"/>
  <c r="D82" i="6" s="1"/>
  <c r="O81" i="20" s="1"/>
  <c r="D49" i="57"/>
  <c r="D61" i="57"/>
  <c r="D57" i="57"/>
  <c r="D55" i="6" s="1"/>
  <c r="O54" i="20"/>
  <c r="D55" i="57"/>
  <c r="D53" i="6" s="1"/>
  <c r="D58" i="57"/>
  <c r="F54" i="57"/>
  <c r="C44" i="57"/>
  <c r="C44" i="6"/>
  <c r="C48" i="57"/>
  <c r="C48" i="6" s="1"/>
  <c r="E32" i="57"/>
  <c r="E32" i="6" s="1"/>
  <c r="C13" i="57"/>
  <c r="C11" i="57"/>
  <c r="E66" i="57"/>
  <c r="E64" i="6" s="1"/>
  <c r="I68" i="52" s="1"/>
  <c r="C22" i="6"/>
  <c r="D39" i="57"/>
  <c r="D35" i="57"/>
  <c r="D35" i="6" s="1"/>
  <c r="D32" i="57"/>
  <c r="D32" i="6"/>
  <c r="O31" i="20" s="1"/>
  <c r="C43" i="57"/>
  <c r="C43" i="6" s="1"/>
  <c r="C45" i="52" s="1"/>
  <c r="C45" i="57"/>
  <c r="C53" i="57"/>
  <c r="E40" i="57"/>
  <c r="E40" i="6" s="1"/>
  <c r="I42" i="52" s="1"/>
  <c r="E36" i="57"/>
  <c r="E36" i="6"/>
  <c r="P35" i="20" s="1"/>
  <c r="E29" i="57"/>
  <c r="E29" i="6"/>
  <c r="E35" i="57"/>
  <c r="E35" i="6" s="1"/>
  <c r="C78" i="57"/>
  <c r="C15" i="57"/>
  <c r="E34" i="57"/>
  <c r="E34" i="6" s="1"/>
  <c r="I36" i="52" s="1"/>
  <c r="E30" i="57"/>
  <c r="E30" i="6"/>
  <c r="P29" i="20" s="1"/>
  <c r="E37" i="57"/>
  <c r="F37" i="57" s="1"/>
  <c r="I37" i="57" s="1"/>
  <c r="C70" i="57"/>
  <c r="C68" i="6" s="1"/>
  <c r="C14" i="57"/>
  <c r="C14" i="6"/>
  <c r="N14" i="20" s="1"/>
  <c r="C14" i="52"/>
  <c r="E38" i="57"/>
  <c r="E38" i="6"/>
  <c r="I40" i="52" s="1"/>
  <c r="P37" i="20"/>
  <c r="D78" i="57"/>
  <c r="D76" i="6" s="1"/>
  <c r="D73" i="57"/>
  <c r="D71" i="6" s="1"/>
  <c r="D70" i="57"/>
  <c r="C24" i="57"/>
  <c r="E48" i="57"/>
  <c r="E48" i="6" s="1"/>
  <c r="I50" i="52" s="1"/>
  <c r="E50" i="57"/>
  <c r="E81" i="6" s="1"/>
  <c r="P80" i="20" s="1"/>
  <c r="C55" i="57"/>
  <c r="C53" i="6" s="1"/>
  <c r="C59" i="57"/>
  <c r="I33" i="52"/>
  <c r="I46" i="52"/>
  <c r="C62" i="52"/>
  <c r="C24" i="6"/>
  <c r="C26" i="52"/>
  <c r="N42" i="20"/>
  <c r="D50" i="6"/>
  <c r="O49" i="20" s="1"/>
  <c r="N47" i="20"/>
  <c r="F48" i="57"/>
  <c r="I48" i="57" s="1"/>
  <c r="C45" i="6"/>
  <c r="D39" i="6"/>
  <c r="D56" i="6"/>
  <c r="D49" i="6"/>
  <c r="F53" i="52"/>
  <c r="D79" i="57"/>
  <c r="D77" i="6" s="1"/>
  <c r="E76" i="57"/>
  <c r="E74" i="6" s="1"/>
  <c r="C76" i="57"/>
  <c r="C74" i="6" s="1"/>
  <c r="D76" i="57"/>
  <c r="E68" i="57"/>
  <c r="E66" i="6" s="1"/>
  <c r="C68" i="57"/>
  <c r="F7" i="52"/>
  <c r="I16" i="52"/>
  <c r="C13" i="6"/>
  <c r="N13" i="20"/>
  <c r="V10" i="20"/>
  <c r="V9" i="20"/>
  <c r="V34" i="20"/>
  <c r="F32" i="52"/>
  <c r="L28" i="6"/>
  <c r="H9" i="9"/>
  <c r="Q10" i="22"/>
  <c r="L27" i="6"/>
  <c r="V41" i="20"/>
  <c r="G27" i="9"/>
  <c r="P29" i="22" s="1"/>
  <c r="T29" i="22" s="1"/>
  <c r="G22" i="9"/>
  <c r="P24" i="22" s="1"/>
  <c r="T24" i="22" s="1"/>
  <c r="G20" i="9"/>
  <c r="P22" i="22"/>
  <c r="T22" i="22"/>
  <c r="J41" i="6"/>
  <c r="H8" i="9"/>
  <c r="Q9" i="22" s="1"/>
  <c r="E8" i="6"/>
  <c r="F8" i="57"/>
  <c r="I8" i="57" s="1"/>
  <c r="N8" i="20"/>
  <c r="C9" i="52"/>
  <c r="F9" i="52"/>
  <c r="O8" i="20"/>
  <c r="R12" i="20"/>
  <c r="V12" i="20" s="1"/>
  <c r="D72" i="57"/>
  <c r="D70" i="6"/>
  <c r="N23" i="33"/>
  <c r="E79" i="57"/>
  <c r="E77" i="6"/>
  <c r="E81" i="57"/>
  <c r="E79" i="6" s="1"/>
  <c r="E100" i="6" s="1"/>
  <c r="K79" i="6"/>
  <c r="D81" i="57"/>
  <c r="C81" i="57"/>
  <c r="C79" i="6"/>
  <c r="C100" i="6"/>
  <c r="K73" i="6"/>
  <c r="K65" i="6" s="1"/>
  <c r="C75" i="57"/>
  <c r="E75" i="57"/>
  <c r="E73" i="6"/>
  <c r="E94" i="6" s="1"/>
  <c r="P72" i="20"/>
  <c r="K77" i="6"/>
  <c r="C79" i="57"/>
  <c r="C77" i="6"/>
  <c r="C69" i="57"/>
  <c r="K71" i="6"/>
  <c r="C73" i="57"/>
  <c r="E73" i="57"/>
  <c r="E74" i="57"/>
  <c r="E72" i="6"/>
  <c r="K67" i="6"/>
  <c r="E69" i="57"/>
  <c r="V18" i="20"/>
  <c r="C77" i="57"/>
  <c r="K75" i="6"/>
  <c r="D77" i="57"/>
  <c r="D75" i="6" s="1"/>
  <c r="O74" i="20" s="1"/>
  <c r="E77" i="57"/>
  <c r="E75" i="6"/>
  <c r="E96" i="6" s="1"/>
  <c r="E71" i="57"/>
  <c r="E69" i="6" s="1"/>
  <c r="D71" i="57"/>
  <c r="D69" i="6" s="1"/>
  <c r="D90" i="6" s="1"/>
  <c r="C71" i="57"/>
  <c r="C69" i="6"/>
  <c r="K69" i="6"/>
  <c r="C74" i="57"/>
  <c r="C72" i="6" s="1"/>
  <c r="N71" i="20"/>
  <c r="K72" i="6"/>
  <c r="D74" i="57"/>
  <c r="C80" i="57"/>
  <c r="E80" i="57"/>
  <c r="F80" i="57" s="1"/>
  <c r="I80" i="57" s="1"/>
  <c r="D80" i="57"/>
  <c r="K66" i="6"/>
  <c r="K67" i="57"/>
  <c r="D68" i="57"/>
  <c r="D66" i="6" s="1"/>
  <c r="Q11" i="21"/>
  <c r="T46" i="22"/>
  <c r="C73" i="6"/>
  <c r="P41" i="22"/>
  <c r="T41" i="22" s="1"/>
  <c r="R53" i="20"/>
  <c r="V53" i="20" s="1"/>
  <c r="I24" i="52"/>
  <c r="F36" i="52"/>
  <c r="N23" i="20"/>
  <c r="M19" i="24"/>
  <c r="D74" i="6"/>
  <c r="O55" i="20"/>
  <c r="F59" i="52"/>
  <c r="O38" i="20"/>
  <c r="F41" i="52"/>
  <c r="O41" i="20"/>
  <c r="F44" i="52"/>
  <c r="C34" i="6"/>
  <c r="F34" i="57"/>
  <c r="I34" i="57" s="1"/>
  <c r="P63" i="20"/>
  <c r="F52" i="52"/>
  <c r="N22" i="20"/>
  <c r="O35" i="20"/>
  <c r="C23" i="52"/>
  <c r="F28" i="30"/>
  <c r="R14" i="24"/>
  <c r="C50" i="52"/>
  <c r="I25" i="52"/>
  <c r="N14" i="24"/>
  <c r="C28" i="30"/>
  <c r="F47" i="22"/>
  <c r="E5" i="33"/>
  <c r="D29" i="33"/>
  <c r="E18" i="57"/>
  <c r="F17" i="57"/>
  <c r="P39" i="20"/>
  <c r="F49" i="52"/>
  <c r="C32" i="6"/>
  <c r="F32" i="57"/>
  <c r="I32" i="57"/>
  <c r="P46" i="20"/>
  <c r="C50" i="6"/>
  <c r="F52" i="57"/>
  <c r="I52" i="57" s="1"/>
  <c r="I59" i="52"/>
  <c r="M14" i="24"/>
  <c r="W14" i="24" s="1"/>
  <c r="J20" i="33"/>
  <c r="N20" i="33" s="1"/>
  <c r="K20" i="33"/>
  <c r="E52" i="22"/>
  <c r="E54" i="22" s="1"/>
  <c r="E9" i="57"/>
  <c r="E9" i="6" s="1"/>
  <c r="P9" i="20" s="1"/>
  <c r="E15" i="57"/>
  <c r="E10" i="57"/>
  <c r="E10" i="6" s="1"/>
  <c r="E11" i="57"/>
  <c r="E11" i="6" s="1"/>
  <c r="P11" i="20" s="1"/>
  <c r="I12" i="52"/>
  <c r="E6" i="57"/>
  <c r="E6" i="6"/>
  <c r="P6" i="20" s="1"/>
  <c r="S6" i="20"/>
  <c r="H5" i="9"/>
  <c r="Q6" i="22" s="1"/>
  <c r="H32" i="9"/>
  <c r="Q34" i="22" s="1"/>
  <c r="S46" i="20"/>
  <c r="S42" i="20"/>
  <c r="H28" i="9"/>
  <c r="Q30" i="22" s="1"/>
  <c r="F31" i="52"/>
  <c r="F42" i="52"/>
  <c r="C19" i="52"/>
  <c r="H30" i="33"/>
  <c r="C29" i="57"/>
  <c r="F29" i="57" s="1"/>
  <c r="C27" i="57"/>
  <c r="F27" i="57" s="1"/>
  <c r="I27" i="57" s="1"/>
  <c r="D59" i="57"/>
  <c r="D56" i="57"/>
  <c r="D54" i="6" s="1"/>
  <c r="C7" i="57"/>
  <c r="C7" i="6"/>
  <c r="C6" i="57"/>
  <c r="C6" i="6" s="1"/>
  <c r="N6" i="20" s="1"/>
  <c r="F5" i="57"/>
  <c r="C10" i="57"/>
  <c r="C16" i="57"/>
  <c r="C9" i="57"/>
  <c r="R43" i="20"/>
  <c r="V43" i="20" s="1"/>
  <c r="F6" i="25"/>
  <c r="H6" i="25" s="1"/>
  <c r="M19" i="33"/>
  <c r="N19" i="33"/>
  <c r="N26" i="33"/>
  <c r="D52" i="22"/>
  <c r="D54" i="22" s="1"/>
  <c r="C38" i="57"/>
  <c r="F38" i="57" s="1"/>
  <c r="C28" i="57"/>
  <c r="C37" i="57"/>
  <c r="C33" i="57"/>
  <c r="F33" i="57" s="1"/>
  <c r="C31" i="57"/>
  <c r="C31" i="6"/>
  <c r="C40" i="57"/>
  <c r="C40" i="6" s="1"/>
  <c r="N39" i="20" s="1"/>
  <c r="C30" i="57"/>
  <c r="C30" i="6" s="1"/>
  <c r="N29" i="20" s="1"/>
  <c r="Q29" i="20" s="1"/>
  <c r="C39" i="57"/>
  <c r="C35" i="57"/>
  <c r="C49" i="57"/>
  <c r="C49" i="6" s="1"/>
  <c r="N48" i="20" s="1"/>
  <c r="C50" i="57"/>
  <c r="C81" i="6" s="1"/>
  <c r="N80" i="20" s="1"/>
  <c r="C47" i="57"/>
  <c r="C47" i="6" s="1"/>
  <c r="C49" i="52"/>
  <c r="C51" i="57"/>
  <c r="C46" i="57"/>
  <c r="C42" i="57"/>
  <c r="P54" i="20"/>
  <c r="I58" i="52"/>
  <c r="D14" i="57"/>
  <c r="D11" i="57"/>
  <c r="D11" i="6"/>
  <c r="O11" i="20" s="1"/>
  <c r="D7" i="57"/>
  <c r="D7" i="6" s="1"/>
  <c r="R44" i="20"/>
  <c r="V44" i="20" s="1"/>
  <c r="G30" i="9"/>
  <c r="P32" i="22" s="1"/>
  <c r="T32" i="22" s="1"/>
  <c r="F28" i="22"/>
  <c r="D75" i="57"/>
  <c r="D73" i="6"/>
  <c r="F67" i="57"/>
  <c r="G12" i="9"/>
  <c r="P14" i="22" s="1"/>
  <c r="T14" i="22" s="1"/>
  <c r="R14" i="20"/>
  <c r="V14" i="20" s="1"/>
  <c r="R54" i="20"/>
  <c r="V54" i="20" s="1"/>
  <c r="G40" i="9"/>
  <c r="P42" i="22"/>
  <c r="T42" i="22"/>
  <c r="S8" i="20"/>
  <c r="R52" i="20"/>
  <c r="V52" i="20" s="1"/>
  <c r="G38" i="9"/>
  <c r="P40" i="22" s="1"/>
  <c r="T40" i="22" s="1"/>
  <c r="H48" i="9"/>
  <c r="Q50" i="22" s="1"/>
  <c r="H25" i="33"/>
  <c r="H29" i="33" s="1"/>
  <c r="K29" i="33" s="1"/>
  <c r="C39" i="6"/>
  <c r="F39" i="57"/>
  <c r="I39" i="57" s="1"/>
  <c r="O53" i="20"/>
  <c r="M20" i="33"/>
  <c r="D14" i="6"/>
  <c r="O14" i="20" s="1"/>
  <c r="F14" i="57"/>
  <c r="I14" i="57"/>
  <c r="F47" i="57"/>
  <c r="I47" i="57" s="1"/>
  <c r="I33" i="57"/>
  <c r="C33" i="6"/>
  <c r="F6" i="57"/>
  <c r="I6" i="57" s="1"/>
  <c r="N31" i="20"/>
  <c r="C34" i="52"/>
  <c r="C42" i="6"/>
  <c r="C44" i="52"/>
  <c r="F42" i="57"/>
  <c r="I42" i="57" s="1"/>
  <c r="F81" i="6"/>
  <c r="F50" i="57"/>
  <c r="I50" i="57" s="1"/>
  <c r="F30" i="57"/>
  <c r="I30" i="57"/>
  <c r="C37" i="6"/>
  <c r="K6" i="25"/>
  <c r="C29" i="6"/>
  <c r="N28" i="20" s="1"/>
  <c r="I29" i="57"/>
  <c r="I7" i="52"/>
  <c r="C65" i="57"/>
  <c r="C63" i="6" s="1"/>
  <c r="N49" i="20"/>
  <c r="C52" i="52"/>
  <c r="C82" i="6"/>
  <c r="N81" i="20" s="1"/>
  <c r="F31" i="57"/>
  <c r="I31" i="57"/>
  <c r="I38" i="57"/>
  <c r="C38" i="6"/>
  <c r="D57" i="6"/>
  <c r="E18" i="6"/>
  <c r="N33" i="20"/>
  <c r="C36" i="52"/>
  <c r="F30" i="30"/>
  <c r="R19" i="24"/>
  <c r="C41" i="52"/>
  <c r="E17" i="6"/>
  <c r="N37" i="20"/>
  <c r="C32" i="52"/>
  <c r="F30" i="6"/>
  <c r="I30" i="6" s="1"/>
  <c r="N41" i="20"/>
  <c r="F42" i="6"/>
  <c r="F33" i="6"/>
  <c r="I33" i="6" s="1"/>
  <c r="N46" i="20"/>
  <c r="F47" i="6"/>
  <c r="I47" i="6"/>
  <c r="F12" i="52"/>
  <c r="F14" i="52"/>
  <c r="N36" i="20"/>
  <c r="C39" i="52"/>
  <c r="I81" i="6"/>
  <c r="F71" i="57"/>
  <c r="I71" i="57" s="1"/>
  <c r="C70" i="6"/>
  <c r="C91" i="6" s="1"/>
  <c r="F72" i="57"/>
  <c r="I72" i="57"/>
  <c r="C93" i="6"/>
  <c r="D68" i="6"/>
  <c r="V70" i="20"/>
  <c r="X70" i="20"/>
  <c r="D72" i="6"/>
  <c r="D93" i="6"/>
  <c r="F74" i="57"/>
  <c r="I74" i="57" s="1"/>
  <c r="P74" i="20"/>
  <c r="D78" i="6"/>
  <c r="O77" i="20" s="1"/>
  <c r="D99" i="6"/>
  <c r="D94" i="6"/>
  <c r="P71" i="20"/>
  <c r="C76" i="6"/>
  <c r="D91" i="6"/>
  <c r="O71" i="20"/>
  <c r="Q71" i="20" s="1"/>
  <c r="N78" i="20"/>
  <c r="D87" i="57"/>
  <c r="F75" i="57"/>
  <c r="I75" i="57" s="1"/>
  <c r="E95" i="6"/>
  <c r="P73" i="20"/>
  <c r="C89" i="6"/>
  <c r="N67" i="20"/>
  <c r="O76" i="20"/>
  <c r="D98" i="6"/>
  <c r="F70" i="57"/>
  <c r="I70" i="57" s="1"/>
  <c r="P78" i="20"/>
  <c r="D87" i="6"/>
  <c r="D96" i="6"/>
  <c r="C67" i="6"/>
  <c r="O73" i="20"/>
  <c r="D95" i="6"/>
  <c r="N76" i="20"/>
  <c r="N75" i="20"/>
  <c r="E93" i="6"/>
  <c r="F72" i="6"/>
  <c r="F93" i="6" s="1"/>
  <c r="C95" i="6"/>
  <c r="O70" i="20"/>
  <c r="D92" i="6"/>
  <c r="C78" i="6"/>
  <c r="F77" i="57"/>
  <c r="I77" i="57"/>
  <c r="C75" i="6"/>
  <c r="N74" i="20" s="1"/>
  <c r="F70" i="6"/>
  <c r="I70" i="6" s="1"/>
  <c r="O69" i="20"/>
  <c r="D88" i="6"/>
  <c r="O66" i="20"/>
  <c r="E89" i="6"/>
  <c r="P75" i="20"/>
  <c r="E97" i="6"/>
  <c r="C99" i="6"/>
  <c r="N77" i="20"/>
  <c r="F91" i="6"/>
  <c r="D20" i="57"/>
  <c r="F20" i="57" s="1"/>
  <c r="D23" i="57"/>
  <c r="D23" i="6" s="1"/>
  <c r="D25" i="57"/>
  <c r="D80" i="6" s="1"/>
  <c r="F19" i="57"/>
  <c r="D22" i="57"/>
  <c r="D24" i="57"/>
  <c r="D21" i="57"/>
  <c r="R11" i="20"/>
  <c r="V11" i="20" s="1"/>
  <c r="G10" i="9"/>
  <c r="P11" i="22"/>
  <c r="T11" i="22" s="1"/>
  <c r="G7" i="9"/>
  <c r="P8" i="22" s="1"/>
  <c r="T8" i="22" s="1"/>
  <c r="R8" i="20"/>
  <c r="V8" i="20" s="1"/>
  <c r="V13" i="20"/>
  <c r="D18" i="6"/>
  <c r="F18" i="57"/>
  <c r="I18" i="57"/>
  <c r="C31" i="52"/>
  <c r="F29" i="6"/>
  <c r="I29" i="6" s="1"/>
  <c r="I72" i="6"/>
  <c r="E78" i="6"/>
  <c r="C96" i="6"/>
  <c r="C46" i="6"/>
  <c r="F46" i="57"/>
  <c r="I46" i="57" s="1"/>
  <c r="F40" i="57"/>
  <c r="I40" i="57"/>
  <c r="C27" i="6"/>
  <c r="C97" i="6"/>
  <c r="I37" i="52"/>
  <c r="P34" i="20"/>
  <c r="C40" i="52"/>
  <c r="N62" i="20"/>
  <c r="C67" i="52"/>
  <c r="I10" i="52"/>
  <c r="O68" i="20"/>
  <c r="C71" i="6"/>
  <c r="C92" i="6" s="1"/>
  <c r="N38" i="20"/>
  <c r="O7" i="20"/>
  <c r="F8" i="52"/>
  <c r="F35" i="57"/>
  <c r="I35" i="57" s="1"/>
  <c r="C35" i="6"/>
  <c r="N34" i="20" s="1"/>
  <c r="F10" i="57"/>
  <c r="I10" i="57"/>
  <c r="C10" i="6"/>
  <c r="F57" i="52"/>
  <c r="C18" i="52"/>
  <c r="F58" i="52"/>
  <c r="P8" i="20"/>
  <c r="Q8" i="20" s="1"/>
  <c r="T8" i="20" s="1"/>
  <c r="I32" i="52"/>
  <c r="C63" i="57"/>
  <c r="C61" i="6" s="1"/>
  <c r="C56" i="6"/>
  <c r="F58" i="57"/>
  <c r="I58" i="57" s="1"/>
  <c r="E15" i="6"/>
  <c r="I15" i="52" s="1"/>
  <c r="E87" i="6"/>
  <c r="P65" i="20"/>
  <c r="N44" i="20"/>
  <c r="C47" i="52"/>
  <c r="P47" i="20"/>
  <c r="C36" i="6"/>
  <c r="F36" i="57"/>
  <c r="I36" i="57"/>
  <c r="F79" i="57"/>
  <c r="I79" i="57" s="1"/>
  <c r="F76" i="57"/>
  <c r="I76" i="57" s="1"/>
  <c r="F14" i="6"/>
  <c r="I14" i="6" s="1"/>
  <c r="Q14" i="20"/>
  <c r="C24" i="52"/>
  <c r="C19" i="6"/>
  <c r="F25" i="57"/>
  <c r="I25" i="57" s="1"/>
  <c r="N24" i="20"/>
  <c r="E37" i="6"/>
  <c r="D43" i="6"/>
  <c r="P45" i="20"/>
  <c r="I48" i="52"/>
  <c r="O32" i="20"/>
  <c r="F35" i="52"/>
  <c r="N20" i="20"/>
  <c r="F34" i="52"/>
  <c r="I38" i="52"/>
  <c r="F10" i="52"/>
  <c r="O9" i="20"/>
  <c r="F29" i="52"/>
  <c r="P12" i="20"/>
  <c r="I13" i="52"/>
  <c r="F11" i="52"/>
  <c r="E49" i="57"/>
  <c r="E49" i="6"/>
  <c r="P48" i="20" s="1"/>
  <c r="I60" i="52"/>
  <c r="P56" i="20"/>
  <c r="P32" i="20"/>
  <c r="I35" i="52"/>
  <c r="P57" i="20"/>
  <c r="I61" i="52"/>
  <c r="S22" i="20"/>
  <c r="H20" i="9"/>
  <c r="Q22" i="22" s="1"/>
  <c r="H27" i="9"/>
  <c r="Q29" i="22" s="1"/>
  <c r="S41" i="20"/>
  <c r="J5" i="6"/>
  <c r="J65" i="6"/>
  <c r="P58" i="20"/>
  <c r="E53" i="57"/>
  <c r="E51" i="6"/>
  <c r="I53" i="52" s="1"/>
  <c r="E45" i="57"/>
  <c r="F45" i="57" s="1"/>
  <c r="I45" i="57" s="1"/>
  <c r="E43" i="57"/>
  <c r="S23" i="20"/>
  <c r="H21" i="9"/>
  <c r="Q23" i="22" s="1"/>
  <c r="S21" i="20"/>
  <c r="H19" i="9"/>
  <c r="Q21" i="22" s="1"/>
  <c r="R46" i="20"/>
  <c r="V46" i="20" s="1"/>
  <c r="G32" i="9"/>
  <c r="P34" i="22"/>
  <c r="T34" i="22" s="1"/>
  <c r="S49" i="20"/>
  <c r="H35" i="9"/>
  <c r="Q37" i="22"/>
  <c r="S43" i="20"/>
  <c r="H29" i="9"/>
  <c r="Q31" i="22"/>
  <c r="J60" i="6"/>
  <c r="G34" i="9"/>
  <c r="P36" i="22" s="1"/>
  <c r="T36" i="22" s="1"/>
  <c r="H41" i="9"/>
  <c r="Q43" i="22"/>
  <c r="H11" i="9"/>
  <c r="Q12" i="22"/>
  <c r="U14" i="20"/>
  <c r="C51" i="52"/>
  <c r="F49" i="6"/>
  <c r="I49" i="6" s="1"/>
  <c r="O57" i="20"/>
  <c r="O42" i="20"/>
  <c r="C59" i="52"/>
  <c r="F56" i="6"/>
  <c r="I56" i="6" s="1"/>
  <c r="N55" i="20"/>
  <c r="Q55" i="20" s="1"/>
  <c r="C37" i="52"/>
  <c r="F35" i="6"/>
  <c r="I35" i="6" s="1"/>
  <c r="F40" i="6"/>
  <c r="I40" i="6" s="1"/>
  <c r="Q39" i="20"/>
  <c r="T39" i="20" s="1"/>
  <c r="W39" i="20" s="1"/>
  <c r="C42" i="52"/>
  <c r="E99" i="6"/>
  <c r="D24" i="6"/>
  <c r="C38" i="52"/>
  <c r="N35" i="20"/>
  <c r="Q35" i="20" s="1"/>
  <c r="F46" i="6"/>
  <c r="I46" i="6" s="1"/>
  <c r="O18" i="20"/>
  <c r="O17" i="20" s="1"/>
  <c r="F19" i="52"/>
  <c r="D17" i="6"/>
  <c r="D22" i="6"/>
  <c r="F22" i="6" s="1"/>
  <c r="I22" i="6" s="1"/>
  <c r="F22" i="57"/>
  <c r="I22" i="57" s="1"/>
  <c r="F23" i="57"/>
  <c r="I23" i="57"/>
  <c r="E45" i="6"/>
  <c r="N10" i="20"/>
  <c r="C11" i="52"/>
  <c r="F49" i="57"/>
  <c r="I49" i="57" s="1"/>
  <c r="D20" i="6"/>
  <c r="O20" i="20" s="1"/>
  <c r="I20" i="57"/>
  <c r="P44" i="20"/>
  <c r="I47" i="52"/>
  <c r="F18" i="52"/>
  <c r="F22" i="52"/>
  <c r="O23" i="20"/>
  <c r="F25" i="52"/>
  <c r="N65" i="6" l="1"/>
  <c r="L29" i="30"/>
  <c r="N11" i="33"/>
  <c r="M7" i="33"/>
  <c r="M10" i="33"/>
  <c r="U13" i="24"/>
  <c r="X13" i="24" s="1"/>
  <c r="M18" i="24"/>
  <c r="R18" i="24"/>
  <c r="R20" i="24" s="1"/>
  <c r="U12" i="24"/>
  <c r="O18" i="24"/>
  <c r="O20" i="24" s="1"/>
  <c r="Q29" i="30"/>
  <c r="F39" i="22"/>
  <c r="C52" i="22"/>
  <c r="F52" i="22" s="1"/>
  <c r="F54" i="22" s="1"/>
  <c r="F25" i="22"/>
  <c r="M30" i="30"/>
  <c r="B30" i="30"/>
  <c r="F83" i="20"/>
  <c r="E83" i="20"/>
  <c r="W8" i="20"/>
  <c r="G83" i="20"/>
  <c r="T29" i="20"/>
  <c r="W29" i="20" s="1"/>
  <c r="U29" i="20"/>
  <c r="T14" i="20"/>
  <c r="W14" i="20" s="1"/>
  <c r="U39" i="20"/>
  <c r="U8" i="20"/>
  <c r="Q23" i="20"/>
  <c r="N39" i="30"/>
  <c r="U71" i="20"/>
  <c r="T71" i="20"/>
  <c r="W71" i="20" s="1"/>
  <c r="C33" i="52"/>
  <c r="N30" i="20"/>
  <c r="F31" i="6"/>
  <c r="I31" i="6" s="1"/>
  <c r="C16" i="6"/>
  <c r="F16" i="57"/>
  <c r="I16" i="57" s="1"/>
  <c r="G19" i="9"/>
  <c r="P21" i="22" s="1"/>
  <c r="T21" i="22" s="1"/>
  <c r="R21" i="20"/>
  <c r="V21" i="20" s="1"/>
  <c r="U35" i="20"/>
  <c r="T35" i="20"/>
  <c r="W35" i="20" s="1"/>
  <c r="I19" i="52"/>
  <c r="P18" i="20"/>
  <c r="P17" i="20" s="1"/>
  <c r="I34" i="52"/>
  <c r="P31" i="20"/>
  <c r="F32" i="6"/>
  <c r="I32" i="6" s="1"/>
  <c r="N18" i="24"/>
  <c r="U9" i="24"/>
  <c r="P28" i="30"/>
  <c r="T14" i="24"/>
  <c r="T18" i="24" s="1"/>
  <c r="O30" i="30"/>
  <c r="V29" i="24"/>
  <c r="E30" i="30"/>
  <c r="D84" i="6"/>
  <c r="P19" i="24"/>
  <c r="P61" i="20"/>
  <c r="I66" i="52"/>
  <c r="T55" i="20"/>
  <c r="W55" i="20" s="1"/>
  <c r="U55" i="20"/>
  <c r="F27" i="6"/>
  <c r="I27" i="6" s="1"/>
  <c r="N26" i="20"/>
  <c r="C29" i="52"/>
  <c r="U23" i="20"/>
  <c r="T23" i="20"/>
  <c r="W23" i="20" s="1"/>
  <c r="I23" i="52"/>
  <c r="P21" i="20"/>
  <c r="C19" i="23"/>
  <c r="E17" i="23"/>
  <c r="E19" i="23" s="1"/>
  <c r="V76" i="20"/>
  <c r="Y76" i="20"/>
  <c r="H19" i="21"/>
  <c r="E25" i="21"/>
  <c r="F26" i="52"/>
  <c r="O24" i="20"/>
  <c r="N66" i="20"/>
  <c r="C88" i="6"/>
  <c r="C66" i="6"/>
  <c r="C87" i="57"/>
  <c r="F68" i="57"/>
  <c r="I68" i="57" s="1"/>
  <c r="F28" i="57"/>
  <c r="I28" i="57" s="1"/>
  <c r="C28" i="6"/>
  <c r="C8" i="52"/>
  <c r="N7" i="20"/>
  <c r="O15" i="20"/>
  <c r="F15" i="52"/>
  <c r="I41" i="52"/>
  <c r="F39" i="6"/>
  <c r="I39" i="6" s="1"/>
  <c r="I39" i="52"/>
  <c r="P36" i="20"/>
  <c r="Q36" i="20" s="1"/>
  <c r="F37" i="6"/>
  <c r="I37" i="6" s="1"/>
  <c r="O56" i="20"/>
  <c r="F60" i="52"/>
  <c r="P10" i="20"/>
  <c r="Q10" i="20" s="1"/>
  <c r="I11" i="52"/>
  <c r="F10" i="6"/>
  <c r="I10" i="6" s="1"/>
  <c r="E67" i="6"/>
  <c r="F67" i="6" s="1"/>
  <c r="E87" i="57"/>
  <c r="F69" i="57"/>
  <c r="I69" i="57" s="1"/>
  <c r="D79" i="6"/>
  <c r="F81" i="57"/>
  <c r="I81" i="57" s="1"/>
  <c r="F8" i="6"/>
  <c r="I8" i="6" s="1"/>
  <c r="I9" i="52"/>
  <c r="O75" i="20"/>
  <c r="Q75" i="20" s="1"/>
  <c r="D97" i="6"/>
  <c r="F15" i="57"/>
  <c r="I15" i="57" s="1"/>
  <c r="C15" i="6"/>
  <c r="C51" i="6"/>
  <c r="F53" i="57"/>
  <c r="I53" i="57" s="1"/>
  <c r="O44" i="20"/>
  <c r="Q44" i="20" s="1"/>
  <c r="F45" i="6"/>
  <c r="I45" i="6" s="1"/>
  <c r="F38" i="52"/>
  <c r="F36" i="6"/>
  <c r="I36" i="6" s="1"/>
  <c r="L9" i="33"/>
  <c r="J9" i="33"/>
  <c r="U8" i="24"/>
  <c r="E82" i="57"/>
  <c r="E65" i="57"/>
  <c r="E63" i="6" s="1"/>
  <c r="E63" i="57"/>
  <c r="E61" i="6" s="1"/>
  <c r="J18" i="24"/>
  <c r="E20" i="24"/>
  <c r="P53" i="20"/>
  <c r="P51" i="20" s="1"/>
  <c r="I57" i="52"/>
  <c r="E52" i="6"/>
  <c r="D26" i="6"/>
  <c r="O26" i="20"/>
  <c r="O13" i="20"/>
  <c r="S7" i="20"/>
  <c r="H6" i="9"/>
  <c r="Q7" i="22" s="1"/>
  <c r="S24" i="20"/>
  <c r="H22" i="9"/>
  <c r="Q24" i="22" s="1"/>
  <c r="P50" i="20"/>
  <c r="I51" i="52"/>
  <c r="F47" i="52"/>
  <c r="C65" i="52"/>
  <c r="N60" i="20"/>
  <c r="F18" i="6"/>
  <c r="I18" i="6" s="1"/>
  <c r="I42" i="6"/>
  <c r="P68" i="20"/>
  <c r="E90" i="6"/>
  <c r="E71" i="6"/>
  <c r="F73" i="57"/>
  <c r="I73" i="57" s="1"/>
  <c r="F77" i="6"/>
  <c r="C98" i="6"/>
  <c r="P49" i="20"/>
  <c r="Q49" i="20" s="1"/>
  <c r="I52" i="52"/>
  <c r="F50" i="6"/>
  <c r="I50" i="6" s="1"/>
  <c r="E82" i="6"/>
  <c r="P81" i="20" s="1"/>
  <c r="Q81" i="20" s="1"/>
  <c r="F51" i="57"/>
  <c r="C66" i="57"/>
  <c r="C82" i="57"/>
  <c r="C64" i="57"/>
  <c r="F24" i="52"/>
  <c r="O22" i="20"/>
  <c r="Q22" i="20" s="1"/>
  <c r="P15" i="20"/>
  <c r="N19" i="20"/>
  <c r="F45" i="52"/>
  <c r="N45" i="20"/>
  <c r="C48" i="52"/>
  <c r="P77" i="20"/>
  <c r="Q77" i="20" s="1"/>
  <c r="F78" i="6"/>
  <c r="F21" i="57"/>
  <c r="I21" i="57" s="1"/>
  <c r="D21" i="6"/>
  <c r="O79" i="20"/>
  <c r="Q79" i="20" s="1"/>
  <c r="F80" i="6"/>
  <c r="I80" i="6" s="1"/>
  <c r="Q74" i="20"/>
  <c r="F78" i="57"/>
  <c r="I78" i="57" s="1"/>
  <c r="D89" i="6"/>
  <c r="F68" i="6"/>
  <c r="O67" i="20"/>
  <c r="Q67" i="20" s="1"/>
  <c r="Q46" i="20"/>
  <c r="O72" i="20"/>
  <c r="F73" i="6"/>
  <c r="Q6" i="20"/>
  <c r="F74" i="6"/>
  <c r="N73" i="20"/>
  <c r="Q73" i="20" s="1"/>
  <c r="C46" i="52"/>
  <c r="N43" i="20"/>
  <c r="O37" i="20"/>
  <c r="F40" i="52"/>
  <c r="F38" i="6"/>
  <c r="I38" i="6" s="1"/>
  <c r="I29" i="52"/>
  <c r="P26" i="20"/>
  <c r="E26" i="6"/>
  <c r="N8" i="33"/>
  <c r="F20" i="6"/>
  <c r="I20" i="6" s="1"/>
  <c r="N70" i="20"/>
  <c r="F43" i="57"/>
  <c r="I43" i="57" s="1"/>
  <c r="E43" i="6"/>
  <c r="F76" i="6"/>
  <c r="N32" i="20"/>
  <c r="Q32" i="20" s="1"/>
  <c r="C35" i="52"/>
  <c r="Q80" i="20"/>
  <c r="O65" i="20"/>
  <c r="D65" i="6"/>
  <c r="C90" i="6"/>
  <c r="N68" i="20"/>
  <c r="F69" i="6"/>
  <c r="O48" i="20"/>
  <c r="Q48" i="20" s="1"/>
  <c r="F51" i="52"/>
  <c r="C57" i="6"/>
  <c r="F59" i="57"/>
  <c r="I59" i="57" s="1"/>
  <c r="O34" i="20"/>
  <c r="Q34" i="20" s="1"/>
  <c r="F37" i="52"/>
  <c r="C11" i="6"/>
  <c r="F11" i="57"/>
  <c r="I11" i="57" s="1"/>
  <c r="O16" i="20"/>
  <c r="F16" i="52"/>
  <c r="P27" i="20"/>
  <c r="I30" i="52"/>
  <c r="C25" i="52"/>
  <c r="F23" i="6"/>
  <c r="I23" i="6" s="1"/>
  <c r="Q38" i="20"/>
  <c r="Q37" i="20"/>
  <c r="Q31" i="20"/>
  <c r="K25" i="33"/>
  <c r="J25" i="33"/>
  <c r="H17" i="33"/>
  <c r="I6" i="25"/>
  <c r="F14" i="25"/>
  <c r="I14" i="25" s="1"/>
  <c r="C9" i="6"/>
  <c r="F9" i="57"/>
  <c r="I9" i="57" s="1"/>
  <c r="C7" i="52"/>
  <c r="F6" i="6"/>
  <c r="I6" i="6" s="1"/>
  <c r="C30" i="30"/>
  <c r="N19" i="24"/>
  <c r="P76" i="20"/>
  <c r="Q76" i="20" s="1"/>
  <c r="E98" i="6"/>
  <c r="C56" i="52"/>
  <c r="F53" i="6"/>
  <c r="I53" i="6" s="1"/>
  <c r="N52" i="20"/>
  <c r="D59" i="6"/>
  <c r="D52" i="6" s="1"/>
  <c r="F61" i="57"/>
  <c r="I61" i="57" s="1"/>
  <c r="O45" i="20"/>
  <c r="F48" i="52"/>
  <c r="O47" i="20"/>
  <c r="Q47" i="20" s="1"/>
  <c r="F50" i="52"/>
  <c r="F48" i="6"/>
  <c r="I48" i="6" s="1"/>
  <c r="E24" i="6"/>
  <c r="F24" i="6" s="1"/>
  <c r="I24" i="6" s="1"/>
  <c r="F24" i="57"/>
  <c r="I24" i="57" s="1"/>
  <c r="F59" i="6"/>
  <c r="I59" i="6" s="1"/>
  <c r="P69" i="20"/>
  <c r="E91" i="6"/>
  <c r="N15" i="33"/>
  <c r="M15" i="33"/>
  <c r="N30" i="30"/>
  <c r="E84" i="6"/>
  <c r="F75" i="6"/>
  <c r="N69" i="20"/>
  <c r="F34" i="6"/>
  <c r="I34" i="6" s="1"/>
  <c r="I14" i="52"/>
  <c r="P33" i="20"/>
  <c r="Q33" i="20" s="1"/>
  <c r="C94" i="6"/>
  <c r="N72" i="20"/>
  <c r="Q72" i="20" s="1"/>
  <c r="F56" i="52"/>
  <c r="O52" i="20"/>
  <c r="D44" i="6"/>
  <c r="F44" i="57"/>
  <c r="I44" i="57" s="1"/>
  <c r="P41" i="20"/>
  <c r="N18" i="20"/>
  <c r="C17" i="6"/>
  <c r="F17" i="6" s="1"/>
  <c r="U18" i="52" s="1"/>
  <c r="M27" i="33"/>
  <c r="N27" i="33"/>
  <c r="P14" i="21"/>
  <c r="O14" i="21"/>
  <c r="R14" i="21" s="1"/>
  <c r="Q18" i="24"/>
  <c r="U11" i="24"/>
  <c r="N22" i="33"/>
  <c r="Q13" i="30"/>
  <c r="Q28" i="30" s="1"/>
  <c r="H12" i="21"/>
  <c r="E21" i="21"/>
  <c r="E23" i="21" s="1"/>
  <c r="E29" i="33"/>
  <c r="P28" i="20"/>
  <c r="Q28" i="20" s="1"/>
  <c r="I31" i="52"/>
  <c r="E83" i="57"/>
  <c r="I30" i="30"/>
  <c r="M8" i="33"/>
  <c r="V13" i="30"/>
  <c r="J28" i="30"/>
  <c r="I13" i="33"/>
  <c r="I5" i="33" s="1"/>
  <c r="U10" i="24"/>
  <c r="S14" i="24"/>
  <c r="S18" i="24" s="1"/>
  <c r="S20" i="24" s="1"/>
  <c r="H28" i="30"/>
  <c r="L28" i="30" s="1"/>
  <c r="L30" i="30" s="1"/>
  <c r="L13" i="30"/>
  <c r="P20" i="20"/>
  <c r="F39" i="52"/>
  <c r="P14" i="24"/>
  <c r="P18" i="24" s="1"/>
  <c r="P20" i="24" s="1"/>
  <c r="F12" i="4"/>
  <c r="F17" i="22"/>
  <c r="F55" i="57"/>
  <c r="I55" i="57" s="1"/>
  <c r="U16" i="24"/>
  <c r="G30" i="30"/>
  <c r="Q19" i="24"/>
  <c r="D62" i="57"/>
  <c r="R24" i="30"/>
  <c r="R13" i="30" s="1"/>
  <c r="R28" i="30" s="1"/>
  <c r="O30" i="20"/>
  <c r="F33" i="52"/>
  <c r="C60" i="57"/>
  <c r="C56" i="57"/>
  <c r="C57" i="57"/>
  <c r="R42" i="20"/>
  <c r="V42" i="20" s="1"/>
  <c r="G28" i="9"/>
  <c r="P30" i="22" s="1"/>
  <c r="T30" i="22" s="1"/>
  <c r="K5" i="57"/>
  <c r="M5" i="57" s="1"/>
  <c r="D12" i="57"/>
  <c r="D12" i="6" s="1"/>
  <c r="C12" i="57"/>
  <c r="F5" i="22"/>
  <c r="I7" i="22"/>
  <c r="E7" i="57"/>
  <c r="E13" i="57"/>
  <c r="R62" i="20"/>
  <c r="V62" i="20" s="1"/>
  <c r="J19" i="6"/>
  <c r="R29" i="30" l="1"/>
  <c r="V20" i="24" s="1"/>
  <c r="V13" i="24"/>
  <c r="Y13" i="24" s="1"/>
  <c r="V12" i="24"/>
  <c r="Y12" i="24" s="1"/>
  <c r="X12" i="24"/>
  <c r="U14" i="24"/>
  <c r="V14" i="24" s="1"/>
  <c r="Y14" i="24" s="1"/>
  <c r="E23" i="15"/>
  <c r="C54" i="22"/>
  <c r="H83" i="20"/>
  <c r="H85" i="20" s="1"/>
  <c r="Q68" i="20"/>
  <c r="U68" i="20" s="1"/>
  <c r="F84" i="6"/>
  <c r="L76" i="52" s="1"/>
  <c r="F83" i="57"/>
  <c r="R30" i="30"/>
  <c r="H23" i="25"/>
  <c r="F88" i="6"/>
  <c r="I67" i="6"/>
  <c r="T28" i="20"/>
  <c r="W28" i="20" s="1"/>
  <c r="U28" i="20"/>
  <c r="U75" i="20"/>
  <c r="T75" i="20"/>
  <c r="W75" i="20" s="1"/>
  <c r="L5" i="33"/>
  <c r="J5" i="33"/>
  <c r="I29" i="33"/>
  <c r="L29" i="33" s="1"/>
  <c r="T76" i="20"/>
  <c r="W76" i="20" s="1"/>
  <c r="U76" i="20"/>
  <c r="T81" i="20"/>
  <c r="W81" i="20" s="1"/>
  <c r="U81" i="20"/>
  <c r="C54" i="6"/>
  <c r="F56" i="57"/>
  <c r="I56" i="57" s="1"/>
  <c r="X11" i="24"/>
  <c r="V11" i="24"/>
  <c r="Y11" i="24" s="1"/>
  <c r="U32" i="20"/>
  <c r="T32" i="20"/>
  <c r="W32" i="20" s="1"/>
  <c r="U46" i="20"/>
  <c r="T46" i="20"/>
  <c r="W46" i="20" s="1"/>
  <c r="I78" i="6"/>
  <c r="F99" i="6"/>
  <c r="C62" i="6"/>
  <c r="V8" i="24"/>
  <c r="Y8" i="24" s="1"/>
  <c r="X8" i="24"/>
  <c r="N50" i="20"/>
  <c r="Q50" i="20" s="1"/>
  <c r="C53" i="52"/>
  <c r="F51" i="6"/>
  <c r="I51" i="6" s="1"/>
  <c r="C41" i="6"/>
  <c r="N20" i="24"/>
  <c r="U18" i="24"/>
  <c r="V18" i="24" s="1"/>
  <c r="Q22" i="24" s="1"/>
  <c r="Q24" i="24" s="1"/>
  <c r="F16" i="6"/>
  <c r="I16" i="6" s="1"/>
  <c r="C16" i="52"/>
  <c r="N16" i="20"/>
  <c r="Q16" i="20" s="1"/>
  <c r="E13" i="6"/>
  <c r="F13" i="57"/>
  <c r="I13" i="57" s="1"/>
  <c r="C58" i="6"/>
  <c r="F60" i="57"/>
  <c r="I60" i="57" s="1"/>
  <c r="V16" i="24"/>
  <c r="Y16" i="24" s="1"/>
  <c r="X16" i="24"/>
  <c r="Q20" i="20"/>
  <c r="Q20" i="24"/>
  <c r="U72" i="20"/>
  <c r="T72" i="20"/>
  <c r="W72" i="20" s="1"/>
  <c r="T38" i="20"/>
  <c r="W38" i="20" s="1"/>
  <c r="U38" i="20"/>
  <c r="N11" i="20"/>
  <c r="Q11" i="20" s="1"/>
  <c r="C12" i="52"/>
  <c r="F11" i="6"/>
  <c r="I11" i="6" s="1"/>
  <c r="N56" i="20"/>
  <c r="Q56" i="20" s="1"/>
  <c r="F57" i="6"/>
  <c r="I57" i="6" s="1"/>
  <c r="C60" i="52"/>
  <c r="T68" i="20"/>
  <c r="W68" i="20" s="1"/>
  <c r="P25" i="20"/>
  <c r="U73" i="20"/>
  <c r="T73" i="20"/>
  <c r="W73" i="20" s="1"/>
  <c r="F94" i="6"/>
  <c r="I73" i="6"/>
  <c r="U36" i="20"/>
  <c r="T36" i="20"/>
  <c r="W36" i="20" s="1"/>
  <c r="D19" i="6"/>
  <c r="O21" i="20"/>
  <c r="F21" i="6"/>
  <c r="I21" i="6" s="1"/>
  <c r="F23" i="52"/>
  <c r="T77" i="20"/>
  <c r="W77" i="20" s="1"/>
  <c r="U77" i="20"/>
  <c r="F43" i="52"/>
  <c r="F98" i="6"/>
  <c r="I77" i="6"/>
  <c r="E60" i="6"/>
  <c r="I65" i="52"/>
  <c r="P60" i="20"/>
  <c r="C15" i="52"/>
  <c r="N15" i="20"/>
  <c r="Q15" i="20" s="1"/>
  <c r="F15" i="6"/>
  <c r="I15" i="6" s="1"/>
  <c r="D100" i="6"/>
  <c r="O78" i="20"/>
  <c r="Q78" i="20" s="1"/>
  <c r="F79" i="6"/>
  <c r="Q26" i="20"/>
  <c r="V10" i="24"/>
  <c r="Y10" i="24" s="1"/>
  <c r="X10" i="24"/>
  <c r="F96" i="6"/>
  <c r="I75" i="6"/>
  <c r="P24" i="20"/>
  <c r="P19" i="20" s="1"/>
  <c r="I26" i="52"/>
  <c r="Q52" i="20"/>
  <c r="C10" i="52"/>
  <c r="N9" i="20"/>
  <c r="F9" i="6"/>
  <c r="I9" i="6" s="1"/>
  <c r="U37" i="20"/>
  <c r="T37" i="20"/>
  <c r="W37" i="20" s="1"/>
  <c r="O64" i="20"/>
  <c r="T6" i="20"/>
  <c r="W6" i="20" s="1"/>
  <c r="U6" i="20"/>
  <c r="T79" i="20"/>
  <c r="W79" i="20" s="1"/>
  <c r="U79" i="20"/>
  <c r="I55" i="52"/>
  <c r="U44" i="20"/>
  <c r="T44" i="20"/>
  <c r="W44" i="20" s="1"/>
  <c r="H30" i="30"/>
  <c r="C83" i="57"/>
  <c r="C84" i="57" s="1"/>
  <c r="F46" i="52"/>
  <c r="O43" i="20"/>
  <c r="O40" i="20" s="1"/>
  <c r="F44" i="6"/>
  <c r="I44" i="6" s="1"/>
  <c r="C84" i="6"/>
  <c r="U31" i="20"/>
  <c r="T31" i="20"/>
  <c r="W31" i="20" s="1"/>
  <c r="T80" i="20"/>
  <c r="W80" i="20" s="1"/>
  <c r="U80" i="20"/>
  <c r="I76" i="6"/>
  <c r="F97" i="6"/>
  <c r="I28" i="52"/>
  <c r="F95" i="6"/>
  <c r="I74" i="6"/>
  <c r="U67" i="20"/>
  <c r="T67" i="20"/>
  <c r="W67" i="20" s="1"/>
  <c r="T74" i="20"/>
  <c r="W74" i="20" s="1"/>
  <c r="U74" i="20"/>
  <c r="D41" i="6"/>
  <c r="C64" i="6"/>
  <c r="F66" i="57"/>
  <c r="I66" i="57" s="1"/>
  <c r="U49" i="20"/>
  <c r="T49" i="20"/>
  <c r="W49" i="20" s="1"/>
  <c r="P62" i="20"/>
  <c r="I67" i="52"/>
  <c r="T10" i="20"/>
  <c r="W10" i="20" s="1"/>
  <c r="U10" i="20"/>
  <c r="Q41" i="20"/>
  <c r="P30" i="30"/>
  <c r="T19" i="24"/>
  <c r="T20" i="24" s="1"/>
  <c r="D83" i="57"/>
  <c r="Q30" i="20"/>
  <c r="N25" i="33"/>
  <c r="M25" i="33"/>
  <c r="I69" i="6"/>
  <c r="F90" i="6"/>
  <c r="U22" i="20"/>
  <c r="T22" i="20"/>
  <c r="W22" i="20" s="1"/>
  <c r="K18" i="24"/>
  <c r="K20" i="24" s="1"/>
  <c r="J20" i="24"/>
  <c r="P66" i="20"/>
  <c r="M84" i="6"/>
  <c r="E88" i="6"/>
  <c r="E65" i="6"/>
  <c r="C28" i="52"/>
  <c r="E7" i="6"/>
  <c r="F7" i="57"/>
  <c r="I7" i="57" s="1"/>
  <c r="C12" i="6"/>
  <c r="F12" i="57"/>
  <c r="I12" i="57" s="1"/>
  <c r="D64" i="57"/>
  <c r="D62" i="6" s="1"/>
  <c r="D66" i="57"/>
  <c r="D64" i="6" s="1"/>
  <c r="D82" i="57"/>
  <c r="D84" i="57" s="1"/>
  <c r="D65" i="57"/>
  <c r="D63" i="57"/>
  <c r="F62" i="57"/>
  <c r="G47" i="4"/>
  <c r="S29" i="30"/>
  <c r="L13" i="33"/>
  <c r="J13" i="33"/>
  <c r="E38" i="33"/>
  <c r="F13" i="52"/>
  <c r="O12" i="20"/>
  <c r="O5" i="20" s="1"/>
  <c r="D5" i="6"/>
  <c r="C55" i="6"/>
  <c r="F57" i="57"/>
  <c r="I57" i="57" s="1"/>
  <c r="V28" i="30"/>
  <c r="V27" i="24"/>
  <c r="J30" i="30"/>
  <c r="G5" i="25"/>
  <c r="I30" i="33"/>
  <c r="V23" i="24"/>
  <c r="N17" i="20"/>
  <c r="Q18" i="20"/>
  <c r="U33" i="20"/>
  <c r="T33" i="20"/>
  <c r="W33" i="20" s="1"/>
  <c r="Q69" i="20"/>
  <c r="U47" i="20"/>
  <c r="T47" i="20"/>
  <c r="W47" i="20" s="1"/>
  <c r="O58" i="20"/>
  <c r="Q58" i="20" s="1"/>
  <c r="F62" i="52"/>
  <c r="U19" i="24"/>
  <c r="V19" i="24" s="1"/>
  <c r="J17" i="33"/>
  <c r="K17" i="33"/>
  <c r="C21" i="52"/>
  <c r="U34" i="20"/>
  <c r="T34" i="20"/>
  <c r="W34" i="20" s="1"/>
  <c r="U48" i="20"/>
  <c r="T48" i="20"/>
  <c r="W48" i="20" s="1"/>
  <c r="G73" i="52"/>
  <c r="G71" i="52"/>
  <c r="P42" i="20"/>
  <c r="Q42" i="20" s="1"/>
  <c r="E41" i="6"/>
  <c r="I45" i="52"/>
  <c r="Q43" i="20"/>
  <c r="N40" i="20"/>
  <c r="F89" i="6"/>
  <c r="I68" i="6"/>
  <c r="Q45" i="20"/>
  <c r="F82" i="6"/>
  <c r="I82" i="6" s="1"/>
  <c r="I51" i="57"/>
  <c r="E92" i="6"/>
  <c r="P70" i="20"/>
  <c r="Q70" i="20" s="1"/>
  <c r="F71" i="6"/>
  <c r="F28" i="52"/>
  <c r="O25" i="20"/>
  <c r="E84" i="57"/>
  <c r="N9" i="33"/>
  <c r="M9" i="33"/>
  <c r="F28" i="6"/>
  <c r="I28" i="6" s="1"/>
  <c r="C30" i="52"/>
  <c r="N27" i="20"/>
  <c r="Q27" i="20" s="1"/>
  <c r="N65" i="20"/>
  <c r="C87" i="6"/>
  <c r="F66" i="6"/>
  <c r="C65" i="6"/>
  <c r="F43" i="6"/>
  <c r="E19" i="6"/>
  <c r="C26" i="6"/>
  <c r="F26" i="6" s="1"/>
  <c r="U28" i="52" s="1"/>
  <c r="X9" i="24"/>
  <c r="V9" i="24"/>
  <c r="Y9" i="24" s="1"/>
  <c r="I18" i="52"/>
  <c r="V22" i="24" l="1"/>
  <c r="R31" i="30"/>
  <c r="X14" i="24"/>
  <c r="V24" i="24"/>
  <c r="P59" i="20"/>
  <c r="P40" i="20"/>
  <c r="T70" i="20"/>
  <c r="W70" i="20" s="1"/>
  <c r="U70" i="20"/>
  <c r="T18" i="20"/>
  <c r="W18" i="20" s="1"/>
  <c r="U18" i="20"/>
  <c r="Q17" i="20"/>
  <c r="N12" i="20"/>
  <c r="Q12" i="20" s="1"/>
  <c r="F12" i="6"/>
  <c r="I12" i="6" s="1"/>
  <c r="C13" i="52"/>
  <c r="C57" i="52"/>
  <c r="N53" i="20"/>
  <c r="C52" i="6"/>
  <c r="F52" i="6" s="1"/>
  <c r="U55" i="52" s="1"/>
  <c r="F54" i="6"/>
  <c r="I54" i="6" s="1"/>
  <c r="U58" i="20"/>
  <c r="T58" i="20"/>
  <c r="W58" i="20" s="1"/>
  <c r="C58" i="52"/>
  <c r="N54" i="20"/>
  <c r="Q54" i="20" s="1"/>
  <c r="F55" i="6"/>
  <c r="I55" i="6" s="1"/>
  <c r="D63" i="6"/>
  <c r="F65" i="57"/>
  <c r="I65" i="57" s="1"/>
  <c r="P64" i="20"/>
  <c r="I64" i="52"/>
  <c r="F82" i="57"/>
  <c r="F84" i="57" s="1"/>
  <c r="F19" i="6"/>
  <c r="U21" i="52" s="1"/>
  <c r="T11" i="20"/>
  <c r="W11" i="20" s="1"/>
  <c r="U11" i="20"/>
  <c r="P13" i="20"/>
  <c r="Q13" i="20" s="1"/>
  <c r="F13" i="6"/>
  <c r="I13" i="6" s="1"/>
  <c r="I21" i="52"/>
  <c r="U50" i="20"/>
  <c r="T50" i="20"/>
  <c r="W50" i="20" s="1"/>
  <c r="F64" i="57"/>
  <c r="I64" i="57" s="1"/>
  <c r="Q24" i="20"/>
  <c r="T18" i="52"/>
  <c r="U27" i="20"/>
  <c r="T27" i="20"/>
  <c r="W27" i="20" s="1"/>
  <c r="F66" i="52"/>
  <c r="O61" i="20"/>
  <c r="T30" i="20"/>
  <c r="W30" i="20" s="1"/>
  <c r="U30" i="20"/>
  <c r="I66" i="6"/>
  <c r="F87" i="6"/>
  <c r="U45" i="20"/>
  <c r="T45" i="20"/>
  <c r="W45" i="20" s="1"/>
  <c r="N17" i="33"/>
  <c r="M17" i="33"/>
  <c r="P7" i="20"/>
  <c r="I8" i="52"/>
  <c r="E5" i="6"/>
  <c r="E83" i="6" s="1"/>
  <c r="N84" i="6" s="1"/>
  <c r="F7" i="6"/>
  <c r="I7" i="6" s="1"/>
  <c r="J71" i="52"/>
  <c r="J73" i="52"/>
  <c r="Q66" i="20"/>
  <c r="Q25" i="20"/>
  <c r="T26" i="20"/>
  <c r="W26" i="20" s="1"/>
  <c r="U26" i="20"/>
  <c r="I79" i="6"/>
  <c r="F100" i="6"/>
  <c r="U15" i="20"/>
  <c r="T15" i="20"/>
  <c r="W15" i="20" s="1"/>
  <c r="F21" i="52"/>
  <c r="U56" i="20"/>
  <c r="T56" i="20"/>
  <c r="W56" i="20" s="1"/>
  <c r="U20" i="20"/>
  <c r="T20" i="20"/>
  <c r="W20" i="20" s="1"/>
  <c r="T16" i="20"/>
  <c r="W16" i="20" s="1"/>
  <c r="U16" i="20"/>
  <c r="F55" i="52"/>
  <c r="D71" i="52"/>
  <c r="D73" i="52"/>
  <c r="F65" i="6"/>
  <c r="U69" i="20"/>
  <c r="T69" i="20"/>
  <c r="W69" i="20" s="1"/>
  <c r="G14" i="25"/>
  <c r="J14" i="25" s="1"/>
  <c r="J5" i="25"/>
  <c r="H5" i="25"/>
  <c r="F6" i="52"/>
  <c r="D61" i="6"/>
  <c r="F63" i="57"/>
  <c r="I63" i="57" s="1"/>
  <c r="T28" i="52"/>
  <c r="Q9" i="20"/>
  <c r="Q21" i="20"/>
  <c r="O19" i="20"/>
  <c r="F62" i="6"/>
  <c r="I62" i="6" s="1"/>
  <c r="N61" i="20"/>
  <c r="C60" i="6"/>
  <c r="C66" i="52"/>
  <c r="F92" i="6"/>
  <c r="I71" i="6"/>
  <c r="U42" i="20"/>
  <c r="T42" i="20"/>
  <c r="W42" i="20" s="1"/>
  <c r="T43" i="20"/>
  <c r="W43" i="20" s="1"/>
  <c r="U43" i="20"/>
  <c r="T21" i="52"/>
  <c r="I43" i="6"/>
  <c r="F41" i="6"/>
  <c r="U43" i="52" s="1"/>
  <c r="N64" i="20"/>
  <c r="Q65" i="20"/>
  <c r="I43" i="52"/>
  <c r="O51" i="20"/>
  <c r="N13" i="33"/>
  <c r="M13" i="33"/>
  <c r="F68" i="52"/>
  <c r="O63" i="20"/>
  <c r="C43" i="52"/>
  <c r="T41" i="20"/>
  <c r="W41" i="20" s="1"/>
  <c r="U41" i="20"/>
  <c r="Q40" i="20"/>
  <c r="C68" i="52"/>
  <c r="F64" i="6"/>
  <c r="I64" i="6" s="1"/>
  <c r="N63" i="20"/>
  <c r="C5" i="6"/>
  <c r="U52" i="20"/>
  <c r="T52" i="20"/>
  <c r="W52" i="20" s="1"/>
  <c r="N25" i="20"/>
  <c r="U78" i="20"/>
  <c r="T78" i="20"/>
  <c r="W78" i="20" s="1"/>
  <c r="N57" i="20"/>
  <c r="Q57" i="20" s="1"/>
  <c r="F58" i="6"/>
  <c r="I58" i="6" s="1"/>
  <c r="C61" i="52"/>
  <c r="M5" i="33"/>
  <c r="J29" i="33"/>
  <c r="Q19" i="20" l="1"/>
  <c r="T65" i="20"/>
  <c r="W65" i="20" s="1"/>
  <c r="Q64" i="20"/>
  <c r="U65" i="20"/>
  <c r="T12" i="20"/>
  <c r="W12" i="20" s="1"/>
  <c r="U12" i="20"/>
  <c r="T43" i="52"/>
  <c r="U21" i="20"/>
  <c r="T21" i="20"/>
  <c r="W21" i="20" s="1"/>
  <c r="L73" i="52"/>
  <c r="P5" i="20"/>
  <c r="P83" i="20" s="1"/>
  <c r="Q7" i="20"/>
  <c r="U24" i="20"/>
  <c r="T24" i="20"/>
  <c r="W24" i="20" s="1"/>
  <c r="U13" i="20"/>
  <c r="T13" i="20"/>
  <c r="W13" i="20" s="1"/>
  <c r="U54" i="20"/>
  <c r="T54" i="20"/>
  <c r="W54" i="20" s="1"/>
  <c r="C64" i="52"/>
  <c r="N5" i="20"/>
  <c r="Q53" i="20"/>
  <c r="N51" i="20"/>
  <c r="C6" i="52"/>
  <c r="Q61" i="20"/>
  <c r="N59" i="20"/>
  <c r="I6" i="52"/>
  <c r="U57" i="20"/>
  <c r="T57" i="20"/>
  <c r="W57" i="20" s="1"/>
  <c r="M29" i="33"/>
  <c r="N29" i="33"/>
  <c r="C83" i="6"/>
  <c r="F5" i="6"/>
  <c r="U6" i="52" s="1"/>
  <c r="Q63" i="20"/>
  <c r="T9" i="20"/>
  <c r="W9" i="20" s="1"/>
  <c r="U9" i="20"/>
  <c r="O60" i="20"/>
  <c r="F65" i="52"/>
  <c r="D60" i="6"/>
  <c r="D83" i="6" s="1"/>
  <c r="F61" i="6"/>
  <c r="I61" i="6" s="1"/>
  <c r="H14" i="25"/>
  <c r="K5" i="25"/>
  <c r="T66" i="20"/>
  <c r="W66" i="20" s="1"/>
  <c r="U66" i="20"/>
  <c r="F67" i="52"/>
  <c r="O62" i="20"/>
  <c r="Q62" i="20" s="1"/>
  <c r="F63" i="6"/>
  <c r="I63" i="6" s="1"/>
  <c r="C55" i="52"/>
  <c r="T62" i="20" l="1"/>
  <c r="W62" i="20" s="1"/>
  <c r="U62" i="20"/>
  <c r="K14" i="25"/>
  <c r="V21" i="24"/>
  <c r="H15" i="25"/>
  <c r="U20" i="24"/>
  <c r="F83" i="6"/>
  <c r="I70" i="52"/>
  <c r="J6" i="52" s="1"/>
  <c r="T61" i="20"/>
  <c r="W61" i="20" s="1"/>
  <c r="U61" i="20"/>
  <c r="T55" i="52"/>
  <c r="D55" i="52"/>
  <c r="C70" i="52"/>
  <c r="D64" i="52" s="1"/>
  <c r="T6" i="52"/>
  <c r="U53" i="20"/>
  <c r="T53" i="20"/>
  <c r="W53" i="20" s="1"/>
  <c r="Q51" i="20"/>
  <c r="N83" i="20"/>
  <c r="O59" i="20"/>
  <c r="O83" i="20" s="1"/>
  <c r="Q60" i="20"/>
  <c r="F64" i="52"/>
  <c r="F60" i="6"/>
  <c r="U64" i="52" s="1"/>
  <c r="T63" i="20"/>
  <c r="W63" i="20" s="1"/>
  <c r="U63" i="20"/>
  <c r="T7" i="20"/>
  <c r="W7" i="20" s="1"/>
  <c r="U7" i="20"/>
  <c r="Q5" i="20"/>
  <c r="J16" i="52" l="1"/>
  <c r="K16" i="52" s="1"/>
  <c r="E14" i="9" s="1"/>
  <c r="J13" i="52"/>
  <c r="K13" i="52" s="1"/>
  <c r="E11" i="9" s="1"/>
  <c r="N12" i="22" s="1"/>
  <c r="J10" i="52"/>
  <c r="K10" i="52" s="1"/>
  <c r="E8" i="9" s="1"/>
  <c r="N9" i="22" s="1"/>
  <c r="J12" i="52"/>
  <c r="K12" i="52" s="1"/>
  <c r="E10" i="9" s="1"/>
  <c r="N11" i="22" s="1"/>
  <c r="J7" i="52"/>
  <c r="K7" i="52" s="1"/>
  <c r="J15" i="52"/>
  <c r="K15" i="52" s="1"/>
  <c r="E13" i="9" s="1"/>
  <c r="J14" i="52"/>
  <c r="K14" i="52" s="1"/>
  <c r="E12" i="9" s="1"/>
  <c r="J9" i="52"/>
  <c r="K9" i="52" s="1"/>
  <c r="E7" i="9" s="1"/>
  <c r="N8" i="22" s="1"/>
  <c r="J11" i="52"/>
  <c r="K11" i="52" s="1"/>
  <c r="E9" i="9" s="1"/>
  <c r="N10" i="22" s="1"/>
  <c r="J8" i="52"/>
  <c r="K8" i="52" s="1"/>
  <c r="E6" i="9" s="1"/>
  <c r="N7" i="22" s="1"/>
  <c r="D67" i="52"/>
  <c r="E67" i="52" s="1"/>
  <c r="C48" i="9" s="1"/>
  <c r="D65" i="52"/>
  <c r="E65" i="52" s="1"/>
  <c r="D68" i="52"/>
  <c r="E68" i="52" s="1"/>
  <c r="C49" i="9" s="1"/>
  <c r="D66" i="52"/>
  <c r="E66" i="52" s="1"/>
  <c r="C47" i="9" s="1"/>
  <c r="D62" i="52"/>
  <c r="E62" i="52" s="1"/>
  <c r="C44" i="9" s="1"/>
  <c r="D59" i="52"/>
  <c r="E59" i="52" s="1"/>
  <c r="C41" i="9" s="1"/>
  <c r="D56" i="52"/>
  <c r="E56" i="52" s="1"/>
  <c r="D60" i="52"/>
  <c r="E60" i="52" s="1"/>
  <c r="C42" i="9" s="1"/>
  <c r="D58" i="52"/>
  <c r="E58" i="52" s="1"/>
  <c r="C40" i="9" s="1"/>
  <c r="D61" i="52"/>
  <c r="E61" i="52" s="1"/>
  <c r="C43" i="9" s="1"/>
  <c r="D57" i="52"/>
  <c r="E57" i="52" s="1"/>
  <c r="C39" i="9" s="1"/>
  <c r="F70" i="52"/>
  <c r="D6" i="52"/>
  <c r="Q83" i="20"/>
  <c r="Q59" i="20"/>
  <c r="T60" i="20"/>
  <c r="W60" i="20" s="1"/>
  <c r="U60" i="20"/>
  <c r="D28" i="52"/>
  <c r="D21" i="52"/>
  <c r="D43" i="52"/>
  <c r="D18" i="52"/>
  <c r="D19" i="52" s="1"/>
  <c r="E19" i="52" s="1"/>
  <c r="T64" i="52"/>
  <c r="J21" i="52"/>
  <c r="J28" i="52"/>
  <c r="J64" i="52"/>
  <c r="J55" i="52"/>
  <c r="J18" i="52"/>
  <c r="J19" i="52" s="1"/>
  <c r="K19" i="52" s="1"/>
  <c r="J43" i="52"/>
  <c r="F54" i="9"/>
  <c r="F85" i="6"/>
  <c r="T71" i="52"/>
  <c r="J33" i="52" l="1"/>
  <c r="K33" i="52" s="1"/>
  <c r="J40" i="52"/>
  <c r="K40" i="52" s="1"/>
  <c r="J36" i="52"/>
  <c r="K36" i="52" s="1"/>
  <c r="J35" i="52"/>
  <c r="K35" i="52" s="1"/>
  <c r="J37" i="52"/>
  <c r="K37" i="52" s="1"/>
  <c r="J42" i="52"/>
  <c r="K42" i="52" s="1"/>
  <c r="J32" i="52"/>
  <c r="K32" i="52" s="1"/>
  <c r="J38" i="52"/>
  <c r="K38" i="52" s="1"/>
  <c r="J41" i="52"/>
  <c r="K41" i="52" s="1"/>
  <c r="J29" i="52"/>
  <c r="K29" i="52" s="1"/>
  <c r="J34" i="52"/>
  <c r="K34" i="52" s="1"/>
  <c r="J31" i="52"/>
  <c r="K31" i="52" s="1"/>
  <c r="J39" i="52"/>
  <c r="K39" i="52" s="1"/>
  <c r="J30" i="52"/>
  <c r="K30" i="52" s="1"/>
  <c r="D44" i="52"/>
  <c r="E44" i="52" s="1"/>
  <c r="D45" i="52"/>
  <c r="E45" i="52" s="1"/>
  <c r="C28" i="9" s="1"/>
  <c r="D52" i="52"/>
  <c r="E52" i="52" s="1"/>
  <c r="C35" i="9" s="1"/>
  <c r="D50" i="52"/>
  <c r="E50" i="52" s="1"/>
  <c r="C33" i="9" s="1"/>
  <c r="D51" i="52"/>
  <c r="E51" i="52" s="1"/>
  <c r="C34" i="9" s="1"/>
  <c r="D47" i="52"/>
  <c r="E47" i="52" s="1"/>
  <c r="C30" i="9" s="1"/>
  <c r="D49" i="52"/>
  <c r="E49" i="52" s="1"/>
  <c r="C32" i="9" s="1"/>
  <c r="D48" i="52"/>
  <c r="E48" i="52" s="1"/>
  <c r="C31" i="9" s="1"/>
  <c r="D46" i="52"/>
  <c r="E46" i="52" s="1"/>
  <c r="C29" i="9" s="1"/>
  <c r="D53" i="52"/>
  <c r="E53" i="52" s="1"/>
  <c r="C36" i="9" s="1"/>
  <c r="G43" i="52"/>
  <c r="G18" i="52"/>
  <c r="G19" i="52" s="1"/>
  <c r="H19" i="52" s="1"/>
  <c r="G28" i="52"/>
  <c r="G6" i="52"/>
  <c r="G55" i="52"/>
  <c r="G21" i="52"/>
  <c r="L46" i="22"/>
  <c r="B14" i="15"/>
  <c r="J24" i="52"/>
  <c r="K24" i="52" s="1"/>
  <c r="E20" i="9" s="1"/>
  <c r="N22" i="22" s="1"/>
  <c r="J22" i="52"/>
  <c r="K22" i="52" s="1"/>
  <c r="J25" i="52"/>
  <c r="K25" i="52" s="1"/>
  <c r="E21" i="9" s="1"/>
  <c r="N23" i="22" s="1"/>
  <c r="J23" i="52"/>
  <c r="K23" i="52" s="1"/>
  <c r="E19" i="9" s="1"/>
  <c r="N21" i="22" s="1"/>
  <c r="J26" i="52"/>
  <c r="K26" i="52" s="1"/>
  <c r="E22" i="9" s="1"/>
  <c r="N24" i="22" s="1"/>
  <c r="L44" i="22"/>
  <c r="B12" i="15"/>
  <c r="N15" i="22"/>
  <c r="J60" i="52"/>
  <c r="K60" i="52" s="1"/>
  <c r="E42" i="9" s="1"/>
  <c r="J56" i="52"/>
  <c r="K56" i="52" s="1"/>
  <c r="J58" i="52"/>
  <c r="K58" i="52" s="1"/>
  <c r="E40" i="9" s="1"/>
  <c r="N42" i="22" s="1"/>
  <c r="J59" i="52"/>
  <c r="K59" i="52" s="1"/>
  <c r="E41" i="9" s="1"/>
  <c r="N43" i="22" s="1"/>
  <c r="J62" i="52"/>
  <c r="K62" i="52" s="1"/>
  <c r="E44" i="9" s="1"/>
  <c r="J61" i="52"/>
  <c r="K61" i="52" s="1"/>
  <c r="E43" i="9" s="1"/>
  <c r="J57" i="52"/>
  <c r="K57" i="52" s="1"/>
  <c r="E39" i="9" s="1"/>
  <c r="N41" i="22" s="1"/>
  <c r="L41" i="22"/>
  <c r="E55" i="52"/>
  <c r="C38" i="9"/>
  <c r="L51" i="22"/>
  <c r="K6" i="52"/>
  <c r="E5" i="9"/>
  <c r="J70" i="52"/>
  <c r="J48" i="52"/>
  <c r="K48" i="52" s="1"/>
  <c r="E31" i="9" s="1"/>
  <c r="N33" i="22" s="1"/>
  <c r="J46" i="52"/>
  <c r="K46" i="52" s="1"/>
  <c r="E29" i="9" s="1"/>
  <c r="N31" i="22" s="1"/>
  <c r="J44" i="52"/>
  <c r="K44" i="52" s="1"/>
  <c r="J49" i="52"/>
  <c r="K49" i="52" s="1"/>
  <c r="E32" i="9" s="1"/>
  <c r="N34" i="22" s="1"/>
  <c r="J53" i="52"/>
  <c r="K53" i="52" s="1"/>
  <c r="E36" i="9" s="1"/>
  <c r="N38" i="22" s="1"/>
  <c r="J50" i="52"/>
  <c r="K50" i="52" s="1"/>
  <c r="E33" i="9" s="1"/>
  <c r="J47" i="52"/>
  <c r="K47" i="52" s="1"/>
  <c r="E30" i="9" s="1"/>
  <c r="J51" i="52"/>
  <c r="K51" i="52" s="1"/>
  <c r="E34" i="9" s="1"/>
  <c r="N36" i="22" s="1"/>
  <c r="J52" i="52"/>
  <c r="K52" i="52" s="1"/>
  <c r="E35" i="9" s="1"/>
  <c r="J45" i="52"/>
  <c r="K45" i="52" s="1"/>
  <c r="E28" i="9" s="1"/>
  <c r="N30" i="22" s="1"/>
  <c r="L42" i="22"/>
  <c r="L50" i="22"/>
  <c r="D10" i="15"/>
  <c r="N14" i="22"/>
  <c r="E16" i="9"/>
  <c r="K18" i="52"/>
  <c r="D22" i="52"/>
  <c r="E22" i="52" s="1"/>
  <c r="D26" i="52"/>
  <c r="E26" i="52" s="1"/>
  <c r="C22" i="9" s="1"/>
  <c r="D23" i="52"/>
  <c r="E23" i="52" s="1"/>
  <c r="C19" i="9" s="1"/>
  <c r="D24" i="52"/>
  <c r="E24" i="52" s="1"/>
  <c r="C20" i="9" s="1"/>
  <c r="D25" i="52"/>
  <c r="E25" i="52" s="1"/>
  <c r="C21" i="9" s="1"/>
  <c r="G64" i="52"/>
  <c r="L49" i="22"/>
  <c r="D34" i="52"/>
  <c r="E34" i="52" s="1"/>
  <c r="D39" i="52"/>
  <c r="E39" i="52" s="1"/>
  <c r="D36" i="52"/>
  <c r="E36" i="52" s="1"/>
  <c r="D40" i="52"/>
  <c r="E40" i="52" s="1"/>
  <c r="D37" i="52"/>
  <c r="E37" i="52" s="1"/>
  <c r="D31" i="52"/>
  <c r="E31" i="52" s="1"/>
  <c r="D38" i="52"/>
  <c r="E38" i="52" s="1"/>
  <c r="D32" i="52"/>
  <c r="E32" i="52" s="1"/>
  <c r="D41" i="52"/>
  <c r="E41" i="52" s="1"/>
  <c r="D42" i="52"/>
  <c r="E42" i="52" s="1"/>
  <c r="D29" i="52"/>
  <c r="E29" i="52" s="1"/>
  <c r="D33" i="52"/>
  <c r="E33" i="52" s="1"/>
  <c r="D35" i="52"/>
  <c r="E35" i="52" s="1"/>
  <c r="D30" i="52"/>
  <c r="E30" i="52" s="1"/>
  <c r="J68" i="52"/>
  <c r="K68" i="52" s="1"/>
  <c r="E49" i="9" s="1"/>
  <c r="N51" i="22" s="1"/>
  <c r="J66" i="52"/>
  <c r="K66" i="52" s="1"/>
  <c r="E47" i="9" s="1"/>
  <c r="N49" i="22" s="1"/>
  <c r="J67" i="52"/>
  <c r="K67" i="52" s="1"/>
  <c r="E48" i="9" s="1"/>
  <c r="N50" i="22" s="1"/>
  <c r="J65" i="52"/>
  <c r="K65" i="52" s="1"/>
  <c r="E18" i="52"/>
  <c r="C16" i="9"/>
  <c r="D70" i="52"/>
  <c r="D11" i="52"/>
  <c r="E11" i="52" s="1"/>
  <c r="C9" i="9" s="1"/>
  <c r="D9" i="52"/>
  <c r="E9" i="52" s="1"/>
  <c r="C7" i="9" s="1"/>
  <c r="D14" i="52"/>
  <c r="E14" i="52" s="1"/>
  <c r="C12" i="9" s="1"/>
  <c r="D7" i="52"/>
  <c r="E7" i="52" s="1"/>
  <c r="D8" i="52"/>
  <c r="E8" i="52" s="1"/>
  <c r="C6" i="9" s="1"/>
  <c r="D15" i="52"/>
  <c r="E15" i="52" s="1"/>
  <c r="C13" i="9" s="1"/>
  <c r="D16" i="52"/>
  <c r="E16" i="52" s="1"/>
  <c r="C14" i="9" s="1"/>
  <c r="D10" i="52"/>
  <c r="E10" i="52" s="1"/>
  <c r="C8" i="9" s="1"/>
  <c r="D12" i="52"/>
  <c r="E12" i="52" s="1"/>
  <c r="C10" i="9" s="1"/>
  <c r="D13" i="52"/>
  <c r="E13" i="52" s="1"/>
  <c r="C11" i="9" s="1"/>
  <c r="L45" i="22"/>
  <c r="B13" i="15"/>
  <c r="L43" i="22"/>
  <c r="E64" i="52"/>
  <c r="C46" i="9"/>
  <c r="D16" i="15"/>
  <c r="N16" i="22"/>
  <c r="L15" i="22" l="1"/>
  <c r="F13" i="9"/>
  <c r="I13" i="9" s="1"/>
  <c r="E15" i="9"/>
  <c r="N18" i="22"/>
  <c r="N17" i="22" s="1"/>
  <c r="N37" i="22"/>
  <c r="D15" i="15"/>
  <c r="L38" i="22"/>
  <c r="L30" i="22"/>
  <c r="L11" i="22"/>
  <c r="L10" i="22"/>
  <c r="E46" i="9"/>
  <c r="K64" i="52"/>
  <c r="L24" i="22"/>
  <c r="G42" i="52"/>
  <c r="H42" i="52" s="1"/>
  <c r="G41" i="52"/>
  <c r="H41" i="52" s="1"/>
  <c r="G32" i="52"/>
  <c r="H32" i="52" s="1"/>
  <c r="G34" i="52"/>
  <c r="H34" i="52" s="1"/>
  <c r="G31" i="52"/>
  <c r="H31" i="52" s="1"/>
  <c r="G29" i="52"/>
  <c r="H29" i="52" s="1"/>
  <c r="G30" i="52"/>
  <c r="H30" i="52" s="1"/>
  <c r="G36" i="52"/>
  <c r="H36" i="52" s="1"/>
  <c r="G35" i="52"/>
  <c r="H35" i="52" s="1"/>
  <c r="G40" i="52"/>
  <c r="H40" i="52" s="1"/>
  <c r="G37" i="52"/>
  <c r="H37" i="52" s="1"/>
  <c r="G38" i="52"/>
  <c r="H38" i="52" s="1"/>
  <c r="G39" i="52"/>
  <c r="H39" i="52" s="1"/>
  <c r="G33" i="52"/>
  <c r="H33" i="52" s="1"/>
  <c r="L36" i="22"/>
  <c r="C27" i="9"/>
  <c r="E43" i="52"/>
  <c r="I16" i="21"/>
  <c r="B8" i="18"/>
  <c r="E6" i="52"/>
  <c r="C5" i="9"/>
  <c r="F21" i="9"/>
  <c r="I21" i="9" s="1"/>
  <c r="L23" i="22"/>
  <c r="C18" i="9"/>
  <c r="E21" i="52"/>
  <c r="K11" i="21"/>
  <c r="D5" i="18"/>
  <c r="K5" i="23" s="1"/>
  <c r="N32" i="22"/>
  <c r="D18" i="15"/>
  <c r="K43" i="52"/>
  <c r="E27" i="9"/>
  <c r="E4" i="9"/>
  <c r="N6" i="22"/>
  <c r="N5" i="22" s="1"/>
  <c r="C37" i="9"/>
  <c r="B9" i="15"/>
  <c r="L40" i="22"/>
  <c r="D4" i="15"/>
  <c r="G22" i="52"/>
  <c r="H22" i="52" s="1"/>
  <c r="G25" i="52"/>
  <c r="H25" i="52" s="1"/>
  <c r="D21" i="9" s="1"/>
  <c r="M23" i="22" s="1"/>
  <c r="G24" i="52"/>
  <c r="H24" i="52" s="1"/>
  <c r="D20" i="9" s="1"/>
  <c r="M22" i="22" s="1"/>
  <c r="G26" i="52"/>
  <c r="H26" i="52" s="1"/>
  <c r="D22" i="9" s="1"/>
  <c r="M24" i="22" s="1"/>
  <c r="G23" i="52"/>
  <c r="H23" i="52" s="1"/>
  <c r="D19" i="9" s="1"/>
  <c r="M21" i="22" s="1"/>
  <c r="D16" i="9"/>
  <c r="H18" i="52"/>
  <c r="L18" i="52" s="1"/>
  <c r="K16" i="9" s="1"/>
  <c r="F31" i="9"/>
  <c r="I31" i="9" s="1"/>
  <c r="L33" i="22"/>
  <c r="L35" i="22"/>
  <c r="B11" i="15"/>
  <c r="F33" i="9"/>
  <c r="I33" i="9" s="1"/>
  <c r="K28" i="52"/>
  <c r="K18" i="21"/>
  <c r="D11" i="18"/>
  <c r="K13" i="23" s="1"/>
  <c r="L12" i="22"/>
  <c r="L8" i="22"/>
  <c r="F7" i="9"/>
  <c r="I7" i="9" s="1"/>
  <c r="E28" i="52"/>
  <c r="L21" i="22"/>
  <c r="D14" i="15"/>
  <c r="N46" i="22"/>
  <c r="N44" i="22"/>
  <c r="D12" i="15"/>
  <c r="I15" i="21"/>
  <c r="B7" i="18"/>
  <c r="I17" i="21"/>
  <c r="B9" i="18"/>
  <c r="G70" i="52"/>
  <c r="G7" i="52"/>
  <c r="H7" i="52" s="1"/>
  <c r="G11" i="52"/>
  <c r="H11" i="52" s="1"/>
  <c r="D9" i="9" s="1"/>
  <c r="M10" i="22" s="1"/>
  <c r="G12" i="52"/>
  <c r="H12" i="52" s="1"/>
  <c r="D10" i="9" s="1"/>
  <c r="M11" i="22" s="1"/>
  <c r="G9" i="52"/>
  <c r="H9" i="52" s="1"/>
  <c r="D7" i="9" s="1"/>
  <c r="M8" i="22" s="1"/>
  <c r="G14" i="52"/>
  <c r="H14" i="52" s="1"/>
  <c r="D12" i="9" s="1"/>
  <c r="G8" i="52"/>
  <c r="H8" i="52" s="1"/>
  <c r="D6" i="9" s="1"/>
  <c r="M7" i="22" s="1"/>
  <c r="G10" i="52"/>
  <c r="H10" i="52" s="1"/>
  <c r="D8" i="9" s="1"/>
  <c r="M9" i="22" s="1"/>
  <c r="G15" i="52"/>
  <c r="H15" i="52" s="1"/>
  <c r="D13" i="9" s="1"/>
  <c r="G16" i="52"/>
  <c r="H16" i="52" s="1"/>
  <c r="D14" i="9" s="1"/>
  <c r="G13" i="52"/>
  <c r="H13" i="52" s="1"/>
  <c r="D11" i="9" s="1"/>
  <c r="M12" i="22" s="1"/>
  <c r="L32" i="22"/>
  <c r="B18" i="15"/>
  <c r="F30" i="9"/>
  <c r="I30" i="9" s="1"/>
  <c r="L48" i="22"/>
  <c r="C45" i="9"/>
  <c r="L7" i="22"/>
  <c r="F6" i="9"/>
  <c r="I6" i="9" s="1"/>
  <c r="G66" i="52"/>
  <c r="H66" i="52" s="1"/>
  <c r="D47" i="9" s="1"/>
  <c r="G68" i="52"/>
  <c r="H68" i="52" s="1"/>
  <c r="D49" i="9" s="1"/>
  <c r="G65" i="52"/>
  <c r="H65" i="52" s="1"/>
  <c r="G67" i="52"/>
  <c r="H67" i="52" s="1"/>
  <c r="D48" i="9" s="1"/>
  <c r="E18" i="9"/>
  <c r="K21" i="52"/>
  <c r="K70" i="52" s="1"/>
  <c r="L31" i="22"/>
  <c r="L9" i="22"/>
  <c r="O9" i="22" s="1"/>
  <c r="F8" i="9"/>
  <c r="I8" i="9" s="1"/>
  <c r="B16" i="15"/>
  <c r="L16" i="22"/>
  <c r="F12" i="9"/>
  <c r="I12" i="9" s="1"/>
  <c r="B10" i="15"/>
  <c r="L14" i="22"/>
  <c r="C15" i="9"/>
  <c r="F16" i="9"/>
  <c r="I16" i="9" s="1"/>
  <c r="L18" i="22"/>
  <c r="L22" i="22"/>
  <c r="O22" i="22" s="1"/>
  <c r="F20" i="9"/>
  <c r="I20" i="9" s="1"/>
  <c r="N35" i="22"/>
  <c r="D11" i="15"/>
  <c r="N45" i="22"/>
  <c r="D13" i="15"/>
  <c r="E38" i="9"/>
  <c r="K55" i="52"/>
  <c r="G58" i="52"/>
  <c r="H58" i="52" s="1"/>
  <c r="D40" i="9" s="1"/>
  <c r="G57" i="52"/>
  <c r="H57" i="52" s="1"/>
  <c r="D39" i="9" s="1"/>
  <c r="G59" i="52"/>
  <c r="H59" i="52" s="1"/>
  <c r="D41" i="9" s="1"/>
  <c r="G61" i="52"/>
  <c r="H61" i="52" s="1"/>
  <c r="D43" i="9" s="1"/>
  <c r="G60" i="52"/>
  <c r="H60" i="52" s="1"/>
  <c r="D42" i="9" s="1"/>
  <c r="G56" i="52"/>
  <c r="H56" i="52" s="1"/>
  <c r="G62" i="52"/>
  <c r="H62" i="52" s="1"/>
  <c r="D44" i="9" s="1"/>
  <c r="G44" i="52"/>
  <c r="H44" i="52" s="1"/>
  <c r="G53" i="52"/>
  <c r="H53" i="52" s="1"/>
  <c r="D36" i="9" s="1"/>
  <c r="M38" i="22" s="1"/>
  <c r="G52" i="52"/>
  <c r="H52" i="52" s="1"/>
  <c r="D35" i="9" s="1"/>
  <c r="G49" i="52"/>
  <c r="H49" i="52" s="1"/>
  <c r="D32" i="9" s="1"/>
  <c r="M34" i="22" s="1"/>
  <c r="G47" i="52"/>
  <c r="H47" i="52" s="1"/>
  <c r="D30" i="9" s="1"/>
  <c r="G45" i="52"/>
  <c r="H45" i="52" s="1"/>
  <c r="D28" i="9" s="1"/>
  <c r="M30" i="22" s="1"/>
  <c r="G51" i="52"/>
  <c r="H51" i="52" s="1"/>
  <c r="D34" i="9" s="1"/>
  <c r="M36" i="22" s="1"/>
  <c r="G48" i="52"/>
  <c r="H48" i="52" s="1"/>
  <c r="D31" i="9" s="1"/>
  <c r="M33" i="22" s="1"/>
  <c r="G50" i="52"/>
  <c r="H50" i="52" s="1"/>
  <c r="D33" i="9" s="1"/>
  <c r="G46" i="52"/>
  <c r="H46" i="52" s="1"/>
  <c r="D29" i="9" s="1"/>
  <c r="M31" i="22" s="1"/>
  <c r="F32" i="9"/>
  <c r="I32" i="9" s="1"/>
  <c r="L34" i="22"/>
  <c r="O34" i="22" s="1"/>
  <c r="B15" i="15"/>
  <c r="L37" i="22"/>
  <c r="F35" i="9"/>
  <c r="I35" i="9" s="1"/>
  <c r="O8" i="22" l="1"/>
  <c r="O23" i="22"/>
  <c r="O30" i="22"/>
  <c r="O33" i="22"/>
  <c r="R33" i="22" s="1"/>
  <c r="U33" i="22" s="1"/>
  <c r="O21" i="22"/>
  <c r="O24" i="22"/>
  <c r="O11" i="22"/>
  <c r="M41" i="22"/>
  <c r="O41" i="22" s="1"/>
  <c r="F39" i="9"/>
  <c r="I39" i="9" s="1"/>
  <c r="K12" i="21"/>
  <c r="D6" i="18"/>
  <c r="K6" i="23" s="1"/>
  <c r="B11" i="18"/>
  <c r="I18" i="21"/>
  <c r="H64" i="52"/>
  <c r="L64" i="52" s="1"/>
  <c r="D46" i="9"/>
  <c r="I12" i="23"/>
  <c r="D9" i="18"/>
  <c r="K12" i="23" s="1"/>
  <c r="K17" i="21"/>
  <c r="S21" i="22"/>
  <c r="R21" i="22"/>
  <c r="U21" i="22" s="1"/>
  <c r="I10" i="21"/>
  <c r="N29" i="22"/>
  <c r="N28" i="22" s="1"/>
  <c r="E26" i="9"/>
  <c r="D7" i="15"/>
  <c r="K8" i="21" s="1"/>
  <c r="S23" i="22"/>
  <c r="R23" i="22"/>
  <c r="U23" i="22" s="1"/>
  <c r="C26" i="9"/>
  <c r="B7" i="15"/>
  <c r="L29" i="22"/>
  <c r="F9" i="9"/>
  <c r="I9" i="9" s="1"/>
  <c r="R30" i="22"/>
  <c r="U30" i="22" s="1"/>
  <c r="S30" i="22"/>
  <c r="M44" i="22"/>
  <c r="O44" i="22" s="1"/>
  <c r="C12" i="15"/>
  <c r="F42" i="9"/>
  <c r="I42" i="9" s="1"/>
  <c r="M51" i="22"/>
  <c r="O51" i="22" s="1"/>
  <c r="F49" i="9"/>
  <c r="I49" i="9" s="1"/>
  <c r="H6" i="52"/>
  <c r="D5" i="9"/>
  <c r="L26" i="22"/>
  <c r="B17" i="15"/>
  <c r="C23" i="9"/>
  <c r="K5" i="21"/>
  <c r="R11" i="22"/>
  <c r="U11" i="22" s="1"/>
  <c r="S11" i="22"/>
  <c r="O38" i="22"/>
  <c r="C11" i="15"/>
  <c r="M35" i="22"/>
  <c r="H43" i="52"/>
  <c r="D27" i="9"/>
  <c r="F27" i="9" s="1"/>
  <c r="I27" i="9" s="1"/>
  <c r="M45" i="22"/>
  <c r="O45" i="22" s="1"/>
  <c r="C13" i="15"/>
  <c r="F43" i="9"/>
  <c r="I43" i="9" s="1"/>
  <c r="F15" i="9"/>
  <c r="O31" i="22"/>
  <c r="M49" i="22"/>
  <c r="O49" i="22" s="1"/>
  <c r="F47" i="9"/>
  <c r="I47" i="9" s="1"/>
  <c r="B8" i="15"/>
  <c r="B13" i="18"/>
  <c r="I20" i="21"/>
  <c r="M15" i="22"/>
  <c r="C4" i="15"/>
  <c r="F11" i="9"/>
  <c r="I11" i="9" s="1"/>
  <c r="E11" i="15"/>
  <c r="H11" i="15" s="1"/>
  <c r="I12" i="21"/>
  <c r="B6" i="18"/>
  <c r="L39" i="22"/>
  <c r="D13" i="18"/>
  <c r="K15" i="23" s="1"/>
  <c r="K20" i="21"/>
  <c r="L6" i="22"/>
  <c r="F5" i="9"/>
  <c r="I5" i="9" s="1"/>
  <c r="C4" i="9"/>
  <c r="F34" i="9"/>
  <c r="I34" i="9" s="1"/>
  <c r="F25" i="9"/>
  <c r="I25" i="9" s="1"/>
  <c r="N48" i="22"/>
  <c r="N47" i="22" s="1"/>
  <c r="E45" i="9"/>
  <c r="F10" i="9"/>
  <c r="I10" i="9" s="1"/>
  <c r="F36" i="9"/>
  <c r="I36" i="9" s="1"/>
  <c r="O15" i="22"/>
  <c r="C15" i="15"/>
  <c r="M37" i="22"/>
  <c r="O37" i="22" s="1"/>
  <c r="D38" i="9"/>
  <c r="H55" i="52"/>
  <c r="L55" i="52" s="1"/>
  <c r="K37" i="9" s="1"/>
  <c r="D8" i="18"/>
  <c r="K11" i="23" s="1"/>
  <c r="K16" i="21"/>
  <c r="L17" i="22"/>
  <c r="B5" i="18"/>
  <c r="I11" i="21"/>
  <c r="S9" i="22"/>
  <c r="R9" i="22"/>
  <c r="U9" i="22" s="1"/>
  <c r="L47" i="22"/>
  <c r="N27" i="22"/>
  <c r="D5" i="15"/>
  <c r="K6" i="21" s="1"/>
  <c r="S33" i="22"/>
  <c r="H21" i="52"/>
  <c r="L21" i="52" s="1"/>
  <c r="D18" i="9"/>
  <c r="I11" i="23"/>
  <c r="R24" i="22"/>
  <c r="U24" i="22" s="1"/>
  <c r="S24" i="22"/>
  <c r="K13" i="21"/>
  <c r="D10" i="18"/>
  <c r="K7" i="23" s="1"/>
  <c r="M42" i="22"/>
  <c r="O42" i="22" s="1"/>
  <c r="F40" i="9"/>
  <c r="I40" i="9" s="1"/>
  <c r="E17" i="9"/>
  <c r="D6" i="15" s="1"/>
  <c r="K7" i="21" s="1"/>
  <c r="N20" i="22"/>
  <c r="N19" i="22" s="1"/>
  <c r="O7" i="22"/>
  <c r="M16" i="22"/>
  <c r="O16" i="22" s="1"/>
  <c r="C16" i="15"/>
  <c r="M14" i="22"/>
  <c r="C10" i="15"/>
  <c r="K15" i="21"/>
  <c r="D7" i="18"/>
  <c r="K10" i="23" s="1"/>
  <c r="S8" i="22"/>
  <c r="R8" i="22"/>
  <c r="U8" i="22" s="1"/>
  <c r="O36" i="22"/>
  <c r="B10" i="18"/>
  <c r="I13" i="21"/>
  <c r="E15" i="15"/>
  <c r="H15" i="15" s="1"/>
  <c r="C18" i="15"/>
  <c r="E18" i="15" s="1"/>
  <c r="H18" i="15" s="1"/>
  <c r="M32" i="22"/>
  <c r="R34" i="22"/>
  <c r="U34" i="22" s="1"/>
  <c r="S34" i="22"/>
  <c r="M46" i="22"/>
  <c r="O46" i="22" s="1"/>
  <c r="C14" i="15"/>
  <c r="F44" i="9"/>
  <c r="I44" i="9" s="1"/>
  <c r="M43" i="22"/>
  <c r="O43" i="22" s="1"/>
  <c r="F41" i="9"/>
  <c r="I41" i="9" s="1"/>
  <c r="E37" i="9"/>
  <c r="N40" i="22"/>
  <c r="N39" i="22" s="1"/>
  <c r="D9" i="15"/>
  <c r="K10" i="21" s="1"/>
  <c r="S22" i="22"/>
  <c r="R22" i="22"/>
  <c r="U22" i="22" s="1"/>
  <c r="O14" i="22"/>
  <c r="F14" i="9"/>
  <c r="I14" i="9" s="1"/>
  <c r="F29" i="9"/>
  <c r="I29" i="9" s="1"/>
  <c r="M50" i="22"/>
  <c r="O50" i="22" s="1"/>
  <c r="F48" i="9"/>
  <c r="I48" i="9" s="1"/>
  <c r="B5" i="15"/>
  <c r="L27" i="22"/>
  <c r="O32" i="22"/>
  <c r="I10" i="23"/>
  <c r="F19" i="9"/>
  <c r="I19" i="9" s="1"/>
  <c r="O12" i="22"/>
  <c r="N26" i="22"/>
  <c r="E23" i="9"/>
  <c r="D17" i="15"/>
  <c r="O35" i="22"/>
  <c r="M18" i="22"/>
  <c r="M17" i="22" s="1"/>
  <c r="D15" i="9"/>
  <c r="F18" i="9"/>
  <c r="I18" i="9" s="1"/>
  <c r="L20" i="22"/>
  <c r="C17" i="9"/>
  <c r="E70" i="52"/>
  <c r="L43" i="52"/>
  <c r="K26" i="9" s="1"/>
  <c r="H28" i="52"/>
  <c r="L28" i="52" s="1"/>
  <c r="K23" i="9" s="1"/>
  <c r="F22" i="9"/>
  <c r="I22" i="9" s="1"/>
  <c r="O10" i="22"/>
  <c r="F28" i="9"/>
  <c r="I28" i="9" s="1"/>
  <c r="B4" i="15"/>
  <c r="N25" i="22" l="1"/>
  <c r="N52" i="22" s="1"/>
  <c r="N54" i="22" s="1"/>
  <c r="R37" i="22"/>
  <c r="U37" i="22" s="1"/>
  <c r="S37" i="22"/>
  <c r="S16" i="22"/>
  <c r="R16" i="22"/>
  <c r="U16" i="22" s="1"/>
  <c r="C17" i="15"/>
  <c r="E17" i="15" s="1"/>
  <c r="D23" i="9"/>
  <c r="F23" i="9" s="1"/>
  <c r="M26" i="22"/>
  <c r="J18" i="21"/>
  <c r="L18" i="21" s="1"/>
  <c r="C11" i="18"/>
  <c r="J13" i="23" s="1"/>
  <c r="O17" i="22"/>
  <c r="R38" i="22"/>
  <c r="U38" i="22" s="1"/>
  <c r="S38" i="22"/>
  <c r="H70" i="52"/>
  <c r="S12" i="22"/>
  <c r="R12" i="22"/>
  <c r="U12" i="22" s="1"/>
  <c r="R14" i="22"/>
  <c r="U14" i="22" s="1"/>
  <c r="S14" i="22"/>
  <c r="O18" i="22"/>
  <c r="L5" i="22"/>
  <c r="S49" i="22"/>
  <c r="R49" i="22"/>
  <c r="U49" i="22" s="1"/>
  <c r="I19" i="21"/>
  <c r="B12" i="18"/>
  <c r="S44" i="22"/>
  <c r="R44" i="22"/>
  <c r="U44" i="22" s="1"/>
  <c r="T70" i="52"/>
  <c r="R50" i="22"/>
  <c r="U50" i="22" s="1"/>
  <c r="S50" i="22"/>
  <c r="C9" i="18"/>
  <c r="J17" i="21"/>
  <c r="L17" i="21" s="1"/>
  <c r="E14" i="15"/>
  <c r="H14" i="15" s="1"/>
  <c r="I7" i="23"/>
  <c r="L7" i="23" s="1"/>
  <c r="E10" i="18"/>
  <c r="H10" i="18" s="1"/>
  <c r="J11" i="21"/>
  <c r="L11" i="21" s="1"/>
  <c r="C5" i="18"/>
  <c r="J5" i="23" s="1"/>
  <c r="S7" i="22"/>
  <c r="R7" i="22"/>
  <c r="U7" i="22" s="1"/>
  <c r="R42" i="22"/>
  <c r="U42" i="22" s="1"/>
  <c r="S42" i="22"/>
  <c r="M20" i="22"/>
  <c r="M19" i="22" s="1"/>
  <c r="D17" i="9"/>
  <c r="C6" i="15" s="1"/>
  <c r="J7" i="21" s="1"/>
  <c r="I5" i="23"/>
  <c r="E5" i="18"/>
  <c r="H5" i="18" s="1"/>
  <c r="I9" i="21"/>
  <c r="S31" i="22"/>
  <c r="R31" i="22"/>
  <c r="U31" i="22" s="1"/>
  <c r="C8" i="18"/>
  <c r="J16" i="21"/>
  <c r="L16" i="21" s="1"/>
  <c r="E13" i="15"/>
  <c r="H13" i="15" s="1"/>
  <c r="D20" i="15"/>
  <c r="L25" i="22"/>
  <c r="S51" i="22"/>
  <c r="R51" i="22"/>
  <c r="U51" i="22" s="1"/>
  <c r="L28" i="22"/>
  <c r="E11" i="18"/>
  <c r="H11" i="18" s="1"/>
  <c r="I13" i="23"/>
  <c r="L13" i="23" s="1"/>
  <c r="B6" i="15"/>
  <c r="I6" i="21"/>
  <c r="R43" i="22"/>
  <c r="U43" i="22" s="1"/>
  <c r="S43" i="22"/>
  <c r="S15" i="22"/>
  <c r="R15" i="22"/>
  <c r="U15" i="22" s="1"/>
  <c r="J5" i="21"/>
  <c r="I15" i="23"/>
  <c r="M29" i="22"/>
  <c r="M28" i="22" s="1"/>
  <c r="C7" i="15"/>
  <c r="J8" i="21" s="1"/>
  <c r="D26" i="9"/>
  <c r="F26" i="9" s="1"/>
  <c r="P7" i="15" s="1"/>
  <c r="F24" i="9"/>
  <c r="I24" i="9" s="1"/>
  <c r="C7" i="18"/>
  <c r="J15" i="21"/>
  <c r="L15" i="21" s="1"/>
  <c r="E12" i="15"/>
  <c r="H12" i="15" s="1"/>
  <c r="S10" i="22"/>
  <c r="R10" i="22"/>
  <c r="U10" i="22" s="1"/>
  <c r="L19" i="22"/>
  <c r="S35" i="22"/>
  <c r="R35" i="22"/>
  <c r="U35" i="22" s="1"/>
  <c r="S32" i="22"/>
  <c r="R32" i="22"/>
  <c r="U32" i="22" s="1"/>
  <c r="C9" i="15"/>
  <c r="D37" i="9"/>
  <c r="F37" i="9" s="1"/>
  <c r="M40" i="22"/>
  <c r="F38" i="9"/>
  <c r="I38" i="9" s="1"/>
  <c r="M27" i="22"/>
  <c r="O27" i="22" s="1"/>
  <c r="C5" i="15"/>
  <c r="J6" i="21" s="1"/>
  <c r="K19" i="21"/>
  <c r="D12" i="18"/>
  <c r="K14" i="23" s="1"/>
  <c r="E4" i="15"/>
  <c r="I5" i="21"/>
  <c r="B4" i="18"/>
  <c r="B20" i="15"/>
  <c r="L6" i="52"/>
  <c r="S46" i="22"/>
  <c r="R46" i="22"/>
  <c r="U46" i="22" s="1"/>
  <c r="C13" i="18"/>
  <c r="J15" i="23" s="1"/>
  <c r="J20" i="21"/>
  <c r="L20" i="21" s="1"/>
  <c r="S36" i="22"/>
  <c r="R36" i="22"/>
  <c r="U36" i="22" s="1"/>
  <c r="E10" i="15"/>
  <c r="H10" i="15" s="1"/>
  <c r="J13" i="21"/>
  <c r="L13" i="21" s="1"/>
  <c r="C10" i="18"/>
  <c r="J7" i="23" s="1"/>
  <c r="D8" i="15"/>
  <c r="K9" i="21" s="1"/>
  <c r="E50" i="9"/>
  <c r="F4" i="9"/>
  <c r="I6" i="23"/>
  <c r="C50" i="9"/>
  <c r="R45" i="22"/>
  <c r="U45" i="22" s="1"/>
  <c r="S45" i="22"/>
  <c r="J12" i="21"/>
  <c r="L12" i="21" s="1"/>
  <c r="C6" i="18"/>
  <c r="J6" i="23" s="1"/>
  <c r="M6" i="22"/>
  <c r="M5" i="22" s="1"/>
  <c r="D4" i="9"/>
  <c r="I8" i="21"/>
  <c r="L8" i="21" s="1"/>
  <c r="M48" i="22"/>
  <c r="D45" i="9"/>
  <c r="F46" i="9"/>
  <c r="I46" i="9" s="1"/>
  <c r="E16" i="15"/>
  <c r="H16" i="15" s="1"/>
  <c r="R41" i="22"/>
  <c r="U41" i="22" s="1"/>
  <c r="S41" i="22"/>
  <c r="E5" i="15" l="1"/>
  <c r="H5" i="15" s="1"/>
  <c r="O19" i="22"/>
  <c r="M25" i="22"/>
  <c r="O25" i="22" s="1"/>
  <c r="O6" i="22"/>
  <c r="S6" i="22" s="1"/>
  <c r="K21" i="21"/>
  <c r="L6" i="21"/>
  <c r="P6" i="21" s="1"/>
  <c r="P13" i="21"/>
  <c r="O13" i="21"/>
  <c r="R13" i="21" s="1"/>
  <c r="E31" i="15"/>
  <c r="O5" i="15"/>
  <c r="P12" i="21"/>
  <c r="O12" i="21"/>
  <c r="R12" i="21" s="1"/>
  <c r="O20" i="21"/>
  <c r="R20" i="21" s="1"/>
  <c r="P20" i="21"/>
  <c r="P8" i="21"/>
  <c r="O8" i="21"/>
  <c r="R8" i="21" s="1"/>
  <c r="R27" i="22"/>
  <c r="S27" i="22"/>
  <c r="P13" i="23"/>
  <c r="O13" i="23"/>
  <c r="R13" i="23" s="1"/>
  <c r="K22" i="21"/>
  <c r="J12" i="23"/>
  <c r="L12" i="23" s="1"/>
  <c r="E9" i="18"/>
  <c r="H9" i="18" s="1"/>
  <c r="C8" i="15"/>
  <c r="D50" i="9"/>
  <c r="F50" i="9" s="1"/>
  <c r="F45" i="9"/>
  <c r="D16" i="18"/>
  <c r="D21" i="15"/>
  <c r="D22" i="15" s="1"/>
  <c r="L5" i="23"/>
  <c r="M47" i="22"/>
  <c r="O48" i="22"/>
  <c r="L75" i="52"/>
  <c r="K4" i="9"/>
  <c r="O20" i="22"/>
  <c r="D4" i="18"/>
  <c r="L15" i="23"/>
  <c r="E6" i="15"/>
  <c r="H6" i="15" s="1"/>
  <c r="I7" i="21"/>
  <c r="L7" i="21" s="1"/>
  <c r="O28" i="22"/>
  <c r="O26" i="22"/>
  <c r="O16" i="21"/>
  <c r="R16" i="21" s="1"/>
  <c r="P16" i="21"/>
  <c r="H17" i="15"/>
  <c r="C12" i="18"/>
  <c r="J14" i="23" s="1"/>
  <c r="J19" i="21"/>
  <c r="L19" i="21" s="1"/>
  <c r="B21" i="15"/>
  <c r="B22" i="15" s="1"/>
  <c r="B16" i="18"/>
  <c r="B15" i="18"/>
  <c r="I8" i="23"/>
  <c r="O11" i="21"/>
  <c r="R11" i="21" s="1"/>
  <c r="P11" i="21"/>
  <c r="J10" i="23"/>
  <c r="L10" i="23" s="1"/>
  <c r="E7" i="18"/>
  <c r="H7" i="18" s="1"/>
  <c r="R6" i="22"/>
  <c r="U6" i="22" s="1"/>
  <c r="L5" i="21"/>
  <c r="M39" i="22"/>
  <c r="O39" i="22" s="1"/>
  <c r="O40" i="22"/>
  <c r="P7" i="23"/>
  <c r="O7" i="23"/>
  <c r="R7" i="23" s="1"/>
  <c r="O18" i="21"/>
  <c r="R18" i="21" s="1"/>
  <c r="P18" i="21"/>
  <c r="I14" i="23"/>
  <c r="S18" i="22"/>
  <c r="R18" i="22"/>
  <c r="U18" i="22" s="1"/>
  <c r="L6" i="23"/>
  <c r="H4" i="15"/>
  <c r="O4" i="15"/>
  <c r="E7" i="15"/>
  <c r="E6" i="18"/>
  <c r="H6" i="18" s="1"/>
  <c r="I22" i="21"/>
  <c r="J10" i="21"/>
  <c r="L10" i="21" s="1"/>
  <c r="E9" i="15"/>
  <c r="H9" i="15" s="1"/>
  <c r="P15" i="21"/>
  <c r="O15" i="21"/>
  <c r="R15" i="21" s="1"/>
  <c r="E13" i="18"/>
  <c r="H13" i="18" s="1"/>
  <c r="F17" i="9"/>
  <c r="O29" i="22"/>
  <c r="J11" i="23"/>
  <c r="L11" i="23" s="1"/>
  <c r="E8" i="18"/>
  <c r="H8" i="18" s="1"/>
  <c r="L52" i="22"/>
  <c r="P17" i="21"/>
  <c r="O17" i="21"/>
  <c r="R17" i="21" s="1"/>
  <c r="O5" i="22"/>
  <c r="E30" i="15" l="1"/>
  <c r="K24" i="21"/>
  <c r="E12" i="18"/>
  <c r="H12" i="18" s="1"/>
  <c r="O6" i="21"/>
  <c r="R6" i="21" s="1"/>
  <c r="I21" i="21"/>
  <c r="I24" i="21" s="1"/>
  <c r="O19" i="21"/>
  <c r="R19" i="21" s="1"/>
  <c r="P19" i="21"/>
  <c r="S29" i="22"/>
  <c r="R29" i="22"/>
  <c r="U29" i="22" s="1"/>
  <c r="P15" i="23"/>
  <c r="O15" i="23"/>
  <c r="R15" i="23" s="1"/>
  <c r="O5" i="23"/>
  <c r="R5" i="23" s="1"/>
  <c r="P5" i="23"/>
  <c r="J9" i="21"/>
  <c r="E8" i="15"/>
  <c r="H8" i="15" s="1"/>
  <c r="U27" i="22"/>
  <c r="W27" i="22"/>
  <c r="C20" i="15"/>
  <c r="E21" i="15"/>
  <c r="E16" i="18"/>
  <c r="P7" i="21"/>
  <c r="O7" i="21"/>
  <c r="R7" i="21" s="1"/>
  <c r="N7" i="15"/>
  <c r="H7" i="15"/>
  <c r="O7" i="15"/>
  <c r="P6" i="23"/>
  <c r="O6" i="23"/>
  <c r="R6" i="23" s="1"/>
  <c r="O5" i="21"/>
  <c r="R5" i="21" s="1"/>
  <c r="P5" i="21"/>
  <c r="S20" i="22"/>
  <c r="R20" i="22"/>
  <c r="U20" i="22" s="1"/>
  <c r="M52" i="22"/>
  <c r="M54" i="22" s="1"/>
  <c r="O47" i="22"/>
  <c r="S60" i="22" s="1"/>
  <c r="P12" i="23"/>
  <c r="O12" i="23"/>
  <c r="R12" i="23" s="1"/>
  <c r="D15" i="18"/>
  <c r="K8" i="23"/>
  <c r="K17" i="23" s="1"/>
  <c r="R48" i="22"/>
  <c r="U48" i="22" s="1"/>
  <c r="S48" i="22"/>
  <c r="P11" i="23"/>
  <c r="O11" i="23"/>
  <c r="R11" i="23" s="1"/>
  <c r="P10" i="21"/>
  <c r="O10" i="21"/>
  <c r="R10" i="21" s="1"/>
  <c r="L14" i="23"/>
  <c r="S57" i="22"/>
  <c r="L54" i="22"/>
  <c r="E20" i="15"/>
  <c r="R40" i="22"/>
  <c r="U40" i="22" s="1"/>
  <c r="S40" i="22"/>
  <c r="P10" i="23"/>
  <c r="O10" i="23"/>
  <c r="R10" i="23" s="1"/>
  <c r="B17" i="18"/>
  <c r="I18" i="23"/>
  <c r="B22" i="18"/>
  <c r="S26" i="22"/>
  <c r="R26" i="22"/>
  <c r="I17" i="23"/>
  <c r="I19" i="23" s="1"/>
  <c r="C4" i="18"/>
  <c r="C21" i="15"/>
  <c r="C16" i="18"/>
  <c r="J18" i="23" s="1"/>
  <c r="O52" i="22" l="1"/>
  <c r="O54" i="22" s="1"/>
  <c r="Q84" i="20"/>
  <c r="E22" i="15"/>
  <c r="L22" i="21"/>
  <c r="E24" i="15"/>
  <c r="F22" i="15"/>
  <c r="F21" i="15"/>
  <c r="D17" i="18"/>
  <c r="K18" i="23"/>
  <c r="K19" i="23" s="1"/>
  <c r="U26" i="22"/>
  <c r="W26" i="22"/>
  <c r="J21" i="21"/>
  <c r="L9" i="21"/>
  <c r="C15" i="18"/>
  <c r="J8" i="23"/>
  <c r="E4" i="18"/>
  <c r="H4" i="18" s="1"/>
  <c r="P14" i="23"/>
  <c r="O14" i="23"/>
  <c r="R14" i="23" s="1"/>
  <c r="J22" i="21"/>
  <c r="C22" i="15"/>
  <c r="J24" i="21" l="1"/>
  <c r="C17" i="18"/>
  <c r="E15" i="18"/>
  <c r="J17" i="23"/>
  <c r="J19" i="23" s="1"/>
  <c r="L8" i="23"/>
  <c r="O9" i="21"/>
  <c r="R9" i="21" s="1"/>
  <c r="P9" i="21"/>
  <c r="L21" i="21"/>
  <c r="L24" i="21" l="1"/>
  <c r="O23" i="21"/>
  <c r="P8" i="23"/>
  <c r="O8" i="23"/>
  <c r="R8" i="23" s="1"/>
  <c r="L17" i="23"/>
  <c r="E17" i="18"/>
  <c r="L18" i="23"/>
  <c r="L19" i="23" l="1"/>
  <c r="U21" i="24"/>
  <c r="K10" i="15"/>
  <c r="V30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waha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waha:</t>
        </r>
        <r>
          <rPr>
            <sz val="9"/>
            <color indexed="81"/>
            <rFont val="Tahoma"/>
            <family val="2"/>
          </rPr>
          <t xml:space="preserve">
สอบถามกรมบัญชีกลาง 3 ก.พ.58 0-2127-7415</t>
        </r>
      </text>
    </comment>
    <comment ref="A4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waha:</t>
        </r>
        <r>
          <rPr>
            <sz val="9"/>
            <color indexed="81"/>
            <rFont val="Tahoma"/>
            <family val="2"/>
          </rPr>
          <t xml:space="preserve">
เวหา+ฐิติภา+ สุดา จงเจริญ+ นวพร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CNN_BOA</author>
    <author>Windows User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CNN_BOA:</t>
        </r>
        <r>
          <rPr>
            <sz val="9"/>
            <color indexed="81"/>
            <rFont val="Tahoma"/>
            <family val="2"/>
          </rPr>
          <t xml:space="preserve">
4+5
</t>
        </r>
      </text>
    </comment>
    <comment ref="E5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CNN_BOA:</t>
        </r>
        <r>
          <rPr>
            <sz val="9"/>
            <color indexed="81"/>
            <rFont val="Tahoma"/>
            <family val="2"/>
          </rPr>
          <t xml:space="preserve">
2+3</t>
        </r>
      </text>
    </comment>
    <comment ref="F5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CNN_BOA:</t>
        </r>
        <r>
          <rPr>
            <sz val="9"/>
            <color indexed="81"/>
            <rFont val="Tahoma"/>
            <family val="2"/>
          </rPr>
          <t xml:space="preserve">
8+9</t>
        </r>
      </text>
    </comment>
    <comment ref="G5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CNN_BOA:</t>
        </r>
        <r>
          <rPr>
            <sz val="9"/>
            <color indexed="81"/>
            <rFont val="Tahoma"/>
            <family val="2"/>
          </rPr>
          <t xml:space="preserve">
6+7</t>
        </r>
      </text>
    </comment>
    <comment ref="M5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CNN_BOA:</t>
        </r>
        <r>
          <rPr>
            <sz val="9"/>
            <color indexed="81"/>
            <rFont val="Tahoma"/>
            <family val="2"/>
          </rPr>
          <t xml:space="preserve">
4+5
</t>
        </r>
      </text>
    </comment>
    <comment ref="N5" authorId="1" shapeId="0" xr:uid="{00000000-0006-0000-0700-00000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อาคาร 8 ช้น</t>
        </r>
      </text>
    </comment>
    <comment ref="O5" authorId="1" shapeId="0" xr:uid="{00000000-0006-0000-0700-00000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1.ค่าไฟฟ้า อาคาร 8 ช้น
2. ค่าน้ำประปา อาคาร 8 ชั้น</t>
        </r>
      </text>
    </comment>
    <comment ref="P5" authorId="1" shapeId="0" xr:uid="{00000000-0006-0000-0700-00000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จ่ายตรง(กรมบัญชีกลางผู้เบิก)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เวหา มิ่งวงศ์</author>
    <author>Windows User</author>
    <author>phatpiran.rat</author>
  </authors>
  <commentList>
    <comment ref="B27" authorId="0" shapeId="0" xr:uid="{DCDF072A-785C-4209-9F0C-9711238282B6}">
      <text>
        <r>
          <rPr>
            <b/>
            <sz val="9"/>
            <color indexed="81"/>
            <rFont val="Tahoma"/>
            <family val="2"/>
          </rPr>
          <t>เวหา มิ่งวงศ์:</t>
        </r>
        <r>
          <rPr>
            <sz val="9"/>
            <color indexed="81"/>
            <rFont val="Tahoma"/>
            <family val="2"/>
          </rPr>
          <t xml:space="preserve">
ต.8 ***กิจรรมที่ 15</t>
        </r>
      </text>
    </comment>
    <comment ref="B28" authorId="0" shapeId="0" xr:uid="{7776F0C0-1DD3-4A47-A3A0-2DE77AFC7EC9}">
      <text>
        <r>
          <rPr>
            <b/>
            <sz val="9"/>
            <color indexed="81"/>
            <rFont val="Tahoma"/>
            <family val="2"/>
          </rPr>
          <t>เวหา มิ่งวงศ์:</t>
        </r>
        <r>
          <rPr>
            <sz val="9"/>
            <color indexed="81"/>
            <rFont val="Tahoma"/>
            <family val="2"/>
          </rPr>
          <t xml:space="preserve">
ต.8 กิจกรรมที่ 2</t>
        </r>
      </text>
    </comment>
    <comment ref="G30" authorId="1" shapeId="0" xr:uid="{00000000-0006-0000-08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แก้ไข กิจกรรม 904 ต.ที่ 3 จาก 2 เรื่อง เป็น 3 เรื่อง
แก้ 10 ม.ค.60</t>
        </r>
      </text>
    </comment>
    <comment ref="B36" authorId="2" shapeId="0" xr:uid="{00000000-0006-0000-0800-000002000000}">
      <text>
        <r>
          <rPr>
            <b/>
            <sz val="9"/>
            <color indexed="81"/>
            <rFont val="Tahoma"/>
            <family val="2"/>
          </rPr>
          <t>phatpiran.rat:</t>
        </r>
        <r>
          <rPr>
            <sz val="9"/>
            <color indexed="81"/>
            <rFont val="Tahoma"/>
            <family val="2"/>
          </rPr>
          <t xml:space="preserve">
ชื่อเดิม งานวิจัยสังคมครัวเรือนเกษตร</t>
        </r>
      </text>
    </comment>
    <comment ref="B40" authorId="2" shapeId="0" xr:uid="{00000000-0006-0000-0800-000003000000}">
      <text>
        <r>
          <rPr>
            <b/>
            <sz val="9"/>
            <color indexed="81"/>
            <rFont val="Tahoma"/>
            <family val="2"/>
          </rPr>
          <t>phatpiran.rat:
ชื่อเดิม</t>
        </r>
        <r>
          <rPr>
            <sz val="9"/>
            <color indexed="81"/>
            <rFont val="Tahoma"/>
            <family val="2"/>
          </rPr>
          <t xml:space="preserve"> งานวิเคราะห์สังคมครัวเรือนเกษตร</t>
        </r>
      </text>
    </comment>
    <comment ref="G69" authorId="1" shapeId="0" xr:uid="{00000000-0006-0000-08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เพิ่มเอกสารจัดซื้อ 
จำนวนเอกสารจัดซื้อจัดจ้าง นอกระบบ GFMIS 126</t>
        </r>
      </text>
    </comment>
    <comment ref="B73" authorId="1" shapeId="0" xr:uid="{00000000-0006-0000-0800-00000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กรมบัญชีกลางกำหนดเป็นกิจกรรมสนับสนน ปี 60</t>
        </r>
      </text>
    </comment>
    <comment ref="B78" authorId="1" shapeId="0" xr:uid="{00000000-0006-0000-0800-00000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กรมบัญชีกลางกำหนดเป็นกิจกรรมสนับสนน ปี 60</t>
        </r>
      </text>
    </comment>
    <comment ref="B79" authorId="1" shapeId="0" xr:uid="{00000000-0006-0000-0800-00000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กรมบัญชีกลางกำหนดเป็นกิจกรรมสนับสนน ปี 60</t>
        </r>
      </text>
    </comment>
    <comment ref="B80" authorId="1" shapeId="0" xr:uid="{00000000-0006-0000-0800-00000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กรมบัญชีกลางกำหนดเป็นกิจกรรมสนับสนน ปี 60</t>
        </r>
      </text>
    </comment>
    <comment ref="B81" authorId="1" shapeId="0" xr:uid="{00000000-0006-0000-0800-00000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กรมบัญชีกลางกำหนดเป็นกิจกรรมสนับสนน ปี 60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phatpiran.rat</author>
    <author>waha</author>
  </authors>
  <commentList>
    <comment ref="B3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phatpiran.rat:</t>
        </r>
        <r>
          <rPr>
            <sz val="9"/>
            <color indexed="81"/>
            <rFont val="Tahoma"/>
            <family val="2"/>
          </rPr>
          <t xml:space="preserve">
ชื่อเดิม งานวิจัยสังคมครัวเรือนเกษตร</t>
        </r>
      </text>
    </comment>
    <comment ref="B40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phatpiran.rat:
ชื่อเดิม</t>
        </r>
        <r>
          <rPr>
            <sz val="9"/>
            <color indexed="81"/>
            <rFont val="Tahoma"/>
            <family val="2"/>
          </rPr>
          <t xml:space="preserve"> งานวิเคราะห์สังคมครัวเรือนเกษตร</t>
        </r>
      </text>
    </comment>
    <comment ref="B81" authorId="1" shapeId="0" xr:uid="{00000000-0006-0000-0900-000003000000}">
      <text>
        <r>
          <rPr>
            <b/>
            <sz val="9"/>
            <color indexed="81"/>
            <rFont val="Tahoma"/>
            <family val="2"/>
          </rPr>
          <t>waha:</t>
        </r>
        <r>
          <rPr>
            <sz val="9"/>
            <color indexed="81"/>
            <rFont val="Tahoma"/>
            <family val="2"/>
          </rPr>
          <t xml:space="preserve">
ปันส่วนจาก ศสส. แต่ย้ายลงมากิจกรรมสนับสนุน</t>
        </r>
      </text>
    </comment>
    <comment ref="B82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waha:</t>
        </r>
        <r>
          <rPr>
            <sz val="9"/>
            <color indexed="81"/>
            <rFont val="Tahoma"/>
            <family val="2"/>
          </rPr>
          <t xml:space="preserve">
ปันส่วนจาก ศสส. แต่ย้ายลงมากิจกรรมสนับสนุน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5" authorId="0" shapeId="0" xr:uid="{8C6239C5-4724-499B-AA75-539AF08E8A0B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ย้าย 910 จากผลผลิตที่ 1 
มาผลผลิตยอ่อยที่ 2
เมื่อ  ม.ค.60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เวหา มิ่งวงศ์</author>
    <author>waha</author>
    <author>Windows User</author>
  </authors>
  <commentList>
    <comment ref="G24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เวหา มิ่งวงศ์:</t>
        </r>
        <r>
          <rPr>
            <sz val="9"/>
            <color indexed="81"/>
            <rFont val="Tahoma"/>
            <family val="2"/>
          </rPr>
          <t xml:space="preserve">
จาก 27 เป็น 28</t>
        </r>
      </text>
    </comment>
    <comment ref="G25" authorId="1" shapeId="0" xr:uid="{00000000-0006-0000-0D00-000002000000}">
      <text>
        <r>
          <rPr>
            <b/>
            <sz val="9"/>
            <color indexed="81"/>
            <rFont val="Tahoma"/>
            <family val="2"/>
          </rPr>
          <t>waha:</t>
        </r>
        <r>
          <rPr>
            <sz val="9"/>
            <color indexed="81"/>
            <rFont val="Tahoma"/>
            <family val="2"/>
          </rPr>
          <t xml:space="preserve">
 21 ม.ค.62 สวศ.แก้ไข จาก 14 เรื่อง 
เป็น 13 เรื่อง</t>
        </r>
      </text>
    </comment>
    <comment ref="J25" authorId="2" shapeId="0" xr:uid="{00000000-0006-0000-0D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ย้าย 910 จากผลผลิตที่ 1 
มาผลผลิตยอ่อยที่ 2
เมื่อ  ม.ค.60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4" authorId="0" shapeId="0" xr:uid="{00000000-0006-0000-0E00-000001000000}">
      <text>
        <r>
          <rPr>
            <sz val="9"/>
            <color indexed="81"/>
            <rFont val="Tahoma"/>
            <family val="2"/>
          </rPr>
          <t>6 ด้าน ได้แก่
1.จัดทำและเสนอแนะยุทธศาสตร์ฯ
2. ศูกษา วิเคราะห์ วิจัยเศรษฐกิจการเกษตร
3. ศึกษาวิเคราะห์เศรษฐกิจการเกษตรระหว่างประเทศ
4.การติดตามประเมินผลการดำเนินงาน ของ กษ.
5. จัดทำและเผยแพร่ข้อมูลสารสนเทศด้านเศรษฐกิจการเกษตร
6. ดำเนินงานบริการจัดการด้านเศรษฐกิจการเกษตรระดับภูมิภาค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waha</author>
    <author>phatpiran.rat</author>
  </authors>
  <commentList>
    <comment ref="S13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waha:</t>
        </r>
        <r>
          <rPr>
            <sz val="9"/>
            <color indexed="81"/>
            <rFont val="Tahoma"/>
            <family val="2"/>
          </rPr>
          <t xml:space="preserve">
1. จ.เชียงใหม่ 2.จ.หนองคาย 
3.จ.ศรีษะเกษ 4.ราชบุรี
5. จ.จันทบุรี  6. จ.พัทลุง</t>
        </r>
      </text>
    </comment>
    <comment ref="B35" authorId="1" shapeId="0" xr:uid="{00000000-0006-0000-0F00-000002000000}">
      <text>
        <r>
          <rPr>
            <b/>
            <sz val="9"/>
            <color indexed="81"/>
            <rFont val="Tahoma"/>
            <family val="2"/>
          </rPr>
          <t>phatpiran.rat:</t>
        </r>
        <r>
          <rPr>
            <sz val="9"/>
            <color indexed="81"/>
            <rFont val="Tahoma"/>
            <family val="2"/>
          </rPr>
          <t xml:space="preserve">
ชื่อเดิม งานวิจัยสังคมครัวเรือนเกษตร</t>
        </r>
      </text>
    </comment>
    <comment ref="M35" authorId="1" shapeId="0" xr:uid="{00000000-0006-0000-0F00-000003000000}">
      <text>
        <r>
          <rPr>
            <b/>
            <sz val="9"/>
            <color indexed="81"/>
            <rFont val="Tahoma"/>
            <family val="2"/>
          </rPr>
          <t>phatpiran.rat:</t>
        </r>
        <r>
          <rPr>
            <sz val="9"/>
            <color indexed="81"/>
            <rFont val="Tahoma"/>
            <family val="2"/>
          </rPr>
          <t xml:space="preserve">
ชื่อเดิม งานวิจัยสังคมครัวเรือนเกษตร</t>
        </r>
      </text>
    </comment>
    <comment ref="B39" authorId="1" shapeId="0" xr:uid="{00000000-0006-0000-0F00-000004000000}">
      <text>
        <r>
          <rPr>
            <b/>
            <sz val="9"/>
            <color indexed="81"/>
            <rFont val="Tahoma"/>
            <family val="2"/>
          </rPr>
          <t>phatpiran.rat:
ชื่อเดิม</t>
        </r>
        <r>
          <rPr>
            <sz val="9"/>
            <color indexed="81"/>
            <rFont val="Tahoma"/>
            <family val="2"/>
          </rPr>
          <t xml:space="preserve"> งานวิเคราะห์สังคมครัวเรือนเกษตร</t>
        </r>
      </text>
    </comment>
    <comment ref="M39" authorId="1" shapeId="0" xr:uid="{00000000-0006-0000-0F00-000005000000}">
      <text>
        <r>
          <rPr>
            <b/>
            <sz val="9"/>
            <color indexed="81"/>
            <rFont val="Tahoma"/>
            <family val="2"/>
          </rPr>
          <t>phatpiran.rat:
ชื่อเดิม</t>
        </r>
        <r>
          <rPr>
            <sz val="9"/>
            <color indexed="81"/>
            <rFont val="Tahoma"/>
            <family val="2"/>
          </rPr>
          <t xml:space="preserve"> งานวิเคราะห์สังคมครัวเรือนเกษตร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waha</author>
  </authors>
  <commentList>
    <comment ref="C4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>waha:</t>
        </r>
        <r>
          <rPr>
            <sz val="9"/>
            <color indexed="81"/>
            <rFont val="Tahoma"/>
            <family val="2"/>
          </rPr>
          <t xml:space="preserve">
ค่าเสื่อมราคา
</t>
        </r>
      </text>
    </comment>
    <comment ref="D4" authorId="0" shapeId="0" xr:uid="{00000000-0006-0000-1A00-000002000000}">
      <text>
        <r>
          <rPr>
            <b/>
            <sz val="9"/>
            <color indexed="81"/>
            <rFont val="Tahoma"/>
            <family val="2"/>
          </rPr>
          <t>waha:</t>
        </r>
        <r>
          <rPr>
            <sz val="9"/>
            <color indexed="81"/>
            <rFont val="Tahoma"/>
            <family val="2"/>
          </rPr>
          <t xml:space="preserve">
ค่าสาธารณูปโภค</t>
        </r>
      </text>
    </comment>
  </commentList>
</comments>
</file>

<file path=xl/sharedStrings.xml><?xml version="1.0" encoding="utf-8"?>
<sst xmlns="http://schemas.openxmlformats.org/spreadsheetml/2006/main" count="1820" uniqueCount="613">
  <si>
    <t xml:space="preserve">งานจัดประชุม </t>
  </si>
  <si>
    <t>เรื่อง</t>
  </si>
  <si>
    <t>จัดทำแนวทางการพัฒนาการเกษตรระดับจังหวัดและกลุ่มจังหวัด</t>
  </si>
  <si>
    <t>ศึกษา วิเคราะห์ วิจัยเศรษฐกิจการเกษตรระดับพื้นที่</t>
  </si>
  <si>
    <t>จัดทำและเผยแพร่ข้อมูลสารสนเทศการเกษตรระดับภูมิภาค</t>
  </si>
  <si>
    <t>ติดตามและประเมินผลการพัฒนาการเกษตรระดับจังหวัดและกลุ่มจังหวัด</t>
  </si>
  <si>
    <t>ระบบ</t>
  </si>
  <si>
    <t>สินค้า</t>
  </si>
  <si>
    <t>จังหวัด</t>
  </si>
  <si>
    <t>เล่ม</t>
  </si>
  <si>
    <t>ต้นทุนคงที่</t>
  </si>
  <si>
    <t>ต้นทุนผันแปร</t>
  </si>
  <si>
    <t>ต้นทุนคงที่ เพิ่ม/(ลด) %</t>
  </si>
  <si>
    <t>ต้นทุนผันแปร เพิ่ม/(ลด) %</t>
  </si>
  <si>
    <t xml:space="preserve">การวิเคราะห์สาเหตุของการเปลี่ยนแปลงของต้นทุนทางตรงตามศูนย์ต้นทุนแยกตามประเภทค่าใช้จ่ายและลักษณะของต้นทุน </t>
  </si>
  <si>
    <t>2.สวศ.</t>
  </si>
  <si>
    <t>3.ศสส.</t>
  </si>
  <si>
    <t>4.ศปผ.</t>
  </si>
  <si>
    <t>1.สลก.</t>
  </si>
  <si>
    <t>คชจ.ประเภทที่ 1</t>
  </si>
  <si>
    <t>คชจ.ประเภทที่ 2</t>
  </si>
  <si>
    <t xml:space="preserve">การวิเคราะห์สาเหตุของการเปลี่ยนแปลงของต้นทุนทางอ้อมตามลักษณะของต้นทุน </t>
  </si>
  <si>
    <t>การวิเคราะห์สาเหตุของการเปลี่ยนแปลงของต้นทุนทางอ้อมตามลักษณะของต้นทุน (อธิบายเฉพาะค่าใช้จ่ายทางอ้อมที่เปลี่ยนแปลงอย่างมีสาระสำคัญ)</t>
  </si>
  <si>
    <t>(อธิบายเฉพาะค่าใช้จ่ายทางอ้อมที่เปลี่ยนแปลงอย่างมีสาระสำคัญ)</t>
  </si>
  <si>
    <t>(อธิบายเฉพาะศูนย์ต้นทุนที่เปลี่ยนแปลงอย่างมีสาระสำคัญ)</t>
  </si>
  <si>
    <t>ต้นทุนทางอ้อม</t>
  </si>
  <si>
    <t>คชจ.ประเภทที่ 1 ค่าสาธารณูปโภค เหตุผล</t>
  </si>
  <si>
    <t>คชจ.ประเภทที่ 2 ค่าเสื่อมราคา เหตุผล</t>
  </si>
  <si>
    <t>ครั้ง</t>
  </si>
  <si>
    <t>หน่วยงาน</t>
  </si>
  <si>
    <t>ผลการประชุม</t>
  </si>
  <si>
    <t>รายงานผลการใช้จ่ายเงินของหน่วยงานในสังกัด กษ.</t>
  </si>
  <si>
    <t>รายงานผลการดำเนินงานของหน่วยงานในสังกัด กษ.</t>
  </si>
  <si>
    <t>ผลการวิเคราะห์เสนอผู้บริหาร</t>
  </si>
  <si>
    <t>งานวิเคราะห์เศรษฐกิจพืชไร่นา</t>
  </si>
  <si>
    <t>งานวิเคราะห์เศรษฐกิจพืชสวน</t>
  </si>
  <si>
    <t>งานวิเคราะห์เศรษฐกิจปศุสัตว์และประมง</t>
  </si>
  <si>
    <t>งานวิเคราะห์ปัจจัยการผลิต</t>
  </si>
  <si>
    <t>งานวิเคราะห์มาตรการความช่วยเหลือเกษตรกร</t>
  </si>
  <si>
    <t>งานวิจัยเศรษฐกิจพืชไร่นา</t>
  </si>
  <si>
    <t>งานวิจัยเศรษฐกิจพืชสวน</t>
  </si>
  <si>
    <t>งานวิจัยเศรษฐกิจปศุสัตว์และประมง</t>
  </si>
  <si>
    <t>งานวิจัยเศรษฐกิจเทคโนโลยีและปัจจัยทางการเกษตร</t>
  </si>
  <si>
    <t>รายงานการวิเคราะห์เศรษฐกิจการเกษตร</t>
  </si>
  <si>
    <t>รายงานการวิจัยเศรษฐกิจการเกษตร</t>
  </si>
  <si>
    <t>รายงานวิเคราะห์เศรษฐกิจการค้าและความร่วมมือในภูมิภาคและอนุภูมิภาค</t>
  </si>
  <si>
    <t>รายงานวิเคราะห์เศรษฐกิจและการค้าระหว่างประเทศ</t>
  </si>
  <si>
    <t>รายงานวิเคราะห์องค์กรและยุทธศาสตร์ระหว่างประเทศ</t>
  </si>
  <si>
    <t>งานติดตาม</t>
  </si>
  <si>
    <t>งานประเมินผล</t>
  </si>
  <si>
    <t>งานวิชาการประเมินผล</t>
  </si>
  <si>
    <t>แนวทางการพัฒนาการเกษตรระดับจังหวัดและกลุ่มจังหวัด</t>
  </si>
  <si>
    <t>รายงานวิเคราะห์ วิจัยเศรษฐกิจการเกษตรระดับพื้นที่</t>
  </si>
  <si>
    <t>เผยแพร่ข้อมูลสารสนเทศการเกษตรระดับภูมิภาค</t>
  </si>
  <si>
    <t>ประเมินผลการพัฒนาการเกษตรระดับจังหวัดและกลุ่มจังหวัด</t>
  </si>
  <si>
    <t>รายงานภาวะเศรษฐกิจการเกษตร</t>
  </si>
  <si>
    <t>3.สวศ.</t>
  </si>
  <si>
    <t>4.ศสส.</t>
  </si>
  <si>
    <t>5.ศปผ.</t>
  </si>
  <si>
    <t>เหตุผล</t>
  </si>
  <si>
    <t>กิจกรรมหลักที่</t>
  </si>
  <si>
    <t>ผลผลิตย่อยที่</t>
  </si>
  <si>
    <t>ผลผลิตหลักที่</t>
  </si>
  <si>
    <t>ตารางที่ 10  เปรียบเทียบผลการคำนวณต้นทุนผลผลิตหลักแยกตามแหล่งของเงิน (ต่อ)</t>
  </si>
  <si>
    <t>ตารางที่ 11  รายงานเปรียบเทียบต้นทุนทางตรงตามศูนย์ต้นทุนแยกตามประเภทค่าใช้จ่ายและลักษณะของต้นทุน (คงที่/ผันแปร)  (ต่อ)</t>
  </si>
  <si>
    <t>ตารางที่ 12  รายงานเปรียบเทียบต้นทุนทางอ้อมตามลักษณะของต้นทุน (คงที่/ผันแปร)  (ต่อ)</t>
  </si>
  <si>
    <t>สิ่งที่ส่งมาด้วย 1</t>
  </si>
  <si>
    <t>เงินในงบประมาณ</t>
  </si>
  <si>
    <t>เงินนอกงบประมาณ</t>
  </si>
  <si>
    <t>งบกลาง</t>
  </si>
  <si>
    <t>รวม</t>
  </si>
  <si>
    <t>รวมต้นทุนผลผลิต</t>
  </si>
  <si>
    <t>ศูนย์ต้นทุน</t>
  </si>
  <si>
    <t>ค่าใช้จ่ายทางตรง</t>
  </si>
  <si>
    <t>ค่าใช้จ่ายทางอ้อม</t>
  </si>
  <si>
    <t>ศูนย์ต้นทุนหลัก</t>
  </si>
  <si>
    <t>ศูนย์ต้นทุนสนับสนุน</t>
  </si>
  <si>
    <t>ค่าเสื่อมราคา</t>
  </si>
  <si>
    <t>ต้นทุนรวม</t>
  </si>
  <si>
    <t>กิจกรรมย่อยของหน่วยงานหลัก</t>
  </si>
  <si>
    <t xml:space="preserve">ปริมาณ </t>
  </si>
  <si>
    <t>หน่วยนับ</t>
  </si>
  <si>
    <t>กิจกรรมย่อยของหน่วยงานสนับสนุน</t>
  </si>
  <si>
    <t>ปริมาณ</t>
  </si>
  <si>
    <t xml:space="preserve">หมายเหตุ : </t>
  </si>
  <si>
    <t xml:space="preserve">ต้นทุนต่อหน่วย </t>
  </si>
  <si>
    <t>ผลผลิตหลัก</t>
  </si>
  <si>
    <t>กิจกรรมหลัก</t>
  </si>
  <si>
    <t>ต้นทุนต่อหน่วย</t>
  </si>
  <si>
    <t>สลก.</t>
  </si>
  <si>
    <t>สศป.</t>
  </si>
  <si>
    <t>สวศ.</t>
  </si>
  <si>
    <t>ศสส.</t>
  </si>
  <si>
    <t>ศปผ.</t>
  </si>
  <si>
    <t>งานด้านการเงินและบัญชี</t>
  </si>
  <si>
    <t>งานด้านการพัสดุ</t>
  </si>
  <si>
    <t>งานด้านตรวจสอบภายใน</t>
  </si>
  <si>
    <t>งานด้านบริหารบุคลากร</t>
  </si>
  <si>
    <t>งานด้านพัฒนาทรัพยากรบุคคล</t>
  </si>
  <si>
    <t>จำนวนครั้งของการจัดซื้อจัดจ้าง</t>
  </si>
  <si>
    <t>จำนวนบุคลากร</t>
  </si>
  <si>
    <t>จำนวนชั่วโมง/คนการฝึกอบรม</t>
  </si>
  <si>
    <t>ค่าใช้จ่ายเดินทาง ในประเทศ</t>
  </si>
  <si>
    <t>ค่าตอบแทน ใช้สอยและค่าวัสดุ</t>
  </si>
  <si>
    <t>ค่าสาธารณูปโภค</t>
  </si>
  <si>
    <t>ค่าใช้จ่ายเดินทาง+การฝึกอบรม ต่างประเทศ</t>
  </si>
  <si>
    <t>เงินเดือน ค่าจ้างและพนักงานราชการ</t>
  </si>
  <si>
    <t>รวมค่าใช้จ่ายทางตรง</t>
  </si>
  <si>
    <t>รวมค่าใช้จ่ายทางอ้อม</t>
  </si>
  <si>
    <t>รวมค่าใช้จ่ายทั้งหมด</t>
  </si>
  <si>
    <t>5</t>
  </si>
  <si>
    <t>6</t>
  </si>
  <si>
    <t>7</t>
  </si>
  <si>
    <t>8</t>
  </si>
  <si>
    <t>11</t>
  </si>
  <si>
    <t>ค่าใช้จ่ายด้านการฝึกอบรมภายในประเทศ</t>
  </si>
  <si>
    <t>(หน่วย : บาท)</t>
  </si>
  <si>
    <t xml:space="preserve">      (หน่วย : บาท)</t>
  </si>
  <si>
    <t>จำนวนงานตรวจสอบ/คนวัน</t>
  </si>
  <si>
    <t xml:space="preserve">                                                 (หน่วย : บาท)</t>
  </si>
  <si>
    <t>ผลการเปรียบเทียบ</t>
  </si>
  <si>
    <t>ต้นทุนรวม เพิ่ม/(ลด) %</t>
  </si>
  <si>
    <t>หน่วยนับ เพิ่ม/(ลด) %</t>
  </si>
  <si>
    <t>ต้นทุนต่อหน่วย เพิ่ม/(ลด) %</t>
  </si>
  <si>
    <t>การวิเคราะห์สาเหตุของการเปลี่ยนแปลงของต้นทุนต่อหน่วยกิจกรรมย่อย (อธิบายเฉพาะต้นทุนต่อหน่วยกิจกรรมย่อยที่เปลี่ยนแปลงอย่างมีสาระสำคัญ)</t>
  </si>
  <si>
    <t>รวมต้นทุนทั้งสิ้น</t>
  </si>
  <si>
    <t>ตารางที่ 8  เปรียบเทียบผลการคำนวณต้นทุนกิจกรรมหลักแยกตามแหล่งของเงิน (ต่อ)</t>
  </si>
  <si>
    <t>การวิเคราะห์สาเหตุของการเปลี่ยนแปลงของต้นทุนต่อหน่วยผลผลิตย่อย (อธิบายเฉพาะต้นทุนต่อหน่วยผลผลิตย่อยที่เปลี่ยนแปลงอย่างมีสาระสำคัญ)</t>
  </si>
  <si>
    <t>การวิเคราะห์สาเหตุของการเปลี่ยนแปลงของต้นทุนต่อหน่วยกิจกรรมหลัก (อธิบายเฉพาะต้นทุนต่อหน่วยกิจกรรมหลักที่เปลี่ยนแปลงอย่างมีสาระสำคัญ)</t>
  </si>
  <si>
    <t>การวิเคราะห์สาเหตุของการเปลี่ยนแปลงของต้นทุนต่อหน่วยผลผลิตหลัก (อธิบายเฉพาะต้นทุนต่อหน่วยผลผลิตหลักที่เปลี่ยนแปลงอย่างมีสาระสำคัญ)</t>
  </si>
  <si>
    <t>งานอำนวยการ</t>
  </si>
  <si>
    <t>ค่าจ้างที่ปรึกษา</t>
  </si>
  <si>
    <t>9</t>
  </si>
  <si>
    <t>13</t>
  </si>
  <si>
    <t>3</t>
  </si>
  <si>
    <t>4</t>
  </si>
  <si>
    <t>งานด้านยานพาหนะ</t>
  </si>
  <si>
    <t>ศปศ.</t>
  </si>
  <si>
    <t>งานจัดทำแผนพัฒนาการเกษตร</t>
  </si>
  <si>
    <t>งานจัดทำภาวะเศรษฐกิจการเกษตร</t>
  </si>
  <si>
    <t>งานจัดทำยุทธศาสตร์ มาตรการ แนวทางการพัฒนาการเกษตร</t>
  </si>
  <si>
    <t>งานวิเคราะห์แผนงาน โครงการและงบประมาณของ กษ.</t>
  </si>
  <si>
    <t>งานติดตามผลการดำเนินงานของ กษ.</t>
  </si>
  <si>
    <t>งานติดตามผลการใช้จ่ายเงินของ กษ.</t>
  </si>
  <si>
    <t>ภูมิภาคและอนุภูมิภาค</t>
  </si>
  <si>
    <t>เศรษฐกิจและการค้า</t>
  </si>
  <si>
    <t>องค์กรและยุทธศาสตร์</t>
  </si>
  <si>
    <t>งานติดตามความก้าวหน้าแผนงาน/คก.</t>
  </si>
  <si>
    <t>งานประเมินผลสัมฤทธิ์แผนงาน/คก.</t>
  </si>
  <si>
    <t>งานศึกษา พัฒนาเทคนิคการติดตามและประเมินผล</t>
  </si>
  <si>
    <t>งานวิเคราะห์วิจัยสังคมครัวเรือนเกษตร</t>
  </si>
  <si>
    <t>จัดทำข้อมูลการผลิต</t>
  </si>
  <si>
    <t>ควบคุมคุณภาพข้อมูล</t>
  </si>
  <si>
    <t>นิเทศงาน สศข.</t>
  </si>
  <si>
    <t>จัดทำต้นทุนการผลิต ราคา</t>
  </si>
  <si>
    <t>พยากรณ์ผลผลิตสินค้าเกษตร</t>
  </si>
  <si>
    <t>จัดทำ ประยุกต์ใช้ GI</t>
  </si>
  <si>
    <t>จัดทำทะเบียนและ socio</t>
  </si>
  <si>
    <t>เผยแพร่สารสนเทศเกษตร</t>
  </si>
  <si>
    <t>งานด้านเทคโนโลยีสารสนเทศและการสื่อสาร</t>
  </si>
  <si>
    <t>เครื่อง</t>
  </si>
  <si>
    <t>งานด้านพัฒนาระบบบริหารราชการ</t>
  </si>
  <si>
    <t>งานด้านสารบรรณ</t>
  </si>
  <si>
    <t>งานด้านแผนงาน</t>
  </si>
  <si>
    <t>จำนวนรายการเอกสาร</t>
  </si>
  <si>
    <t>ด้าน</t>
  </si>
  <si>
    <t>จำนวนหนังสือเข้า-ออก</t>
  </si>
  <si>
    <t>กิโลเมตร</t>
  </si>
  <si>
    <t>เขต</t>
  </si>
  <si>
    <t>แนวทางการพัฒนาการเกษตร</t>
  </si>
  <si>
    <t>ข้อมูลปริมาณการผลิตสินค้าเกษตรที่สำคัญ</t>
  </si>
  <si>
    <t>ข้อมูลการตรวจสอบเพื่อควบคุมคุณภาพข้อมูล(Sample Check)</t>
  </si>
  <si>
    <t>ข้อมูลการนิเทศการปฏิบัติงาน สศข.</t>
  </si>
  <si>
    <t>ข้อมูลต้นทุนการผลิตและราคาสินค้าเกษตร</t>
  </si>
  <si>
    <t>วารสารการพยากรณ์ผลผลิตการเกษตร</t>
  </si>
  <si>
    <t>ข้อมูลเชิงพื้นที่รายจังหวัด</t>
  </si>
  <si>
    <t>เอกสาร/วารสารเพื่อการเผยแพร่</t>
  </si>
  <si>
    <t>กิจกรรมย่อยหน่วยงานสนับสนุน</t>
  </si>
  <si>
    <t>เศรษฐกิจเกษตรพหุภาคี</t>
  </si>
  <si>
    <t>องค์การการค้าโลก</t>
  </si>
  <si>
    <t>งานวิเคราะห์เศรษฐกิจพืชอาหารและพลังงานทดแทน</t>
  </si>
  <si>
    <t>งานวิจัยเศรษฐกิจพืชอาหารและพลังงานทดแทน</t>
  </si>
  <si>
    <t>งานวิเคราะห์วิจัยเศรษฐกิจทรัพยากรการเกษตร</t>
  </si>
  <si>
    <t>งานศูนย์ปฏิบัติการเศรษฐกิจการเกษตร</t>
  </si>
  <si>
    <t>ยอดรวมทั้งหมด</t>
  </si>
  <si>
    <t>สนผ.+ศปศ.</t>
  </si>
  <si>
    <t>แหล่งข้อมูล</t>
  </si>
  <si>
    <t>ข้อมูลจากตรางที่ 6</t>
  </si>
  <si>
    <t>6.ศปศ.</t>
  </si>
  <si>
    <t>6. ศปศ.</t>
  </si>
  <si>
    <t>ตารางที่ 5</t>
  </si>
  <si>
    <t>ข้อมูลมาจากตารางที่ 4</t>
  </si>
  <si>
    <t>ข้อมุลมาจากตารางที่ 3</t>
  </si>
  <si>
    <t>ข้อมูลมาจากตารางที่ 3</t>
  </si>
  <si>
    <t>ข้อมูลมาจากตารางที่ 2</t>
  </si>
  <si>
    <t>ข้อมูลจากตารางที่ 5</t>
  </si>
  <si>
    <t>สศข.1-12</t>
  </si>
  <si>
    <t>ค่าใช้จ่ายรายการ</t>
  </si>
  <si>
    <t>5101</t>
  </si>
  <si>
    <t>5102</t>
  </si>
  <si>
    <t>5103</t>
  </si>
  <si>
    <t>5104</t>
  </si>
  <si>
    <t>5105</t>
  </si>
  <si>
    <t>5107</t>
  </si>
  <si>
    <t xml:space="preserve">        ค่าใช้จ่ายในระบบ  GFMIS</t>
  </si>
  <si>
    <t>การพัฒนาเมืองเกษตรสีเขียว-(งบรายจ่ายอื่น 15,776,800.-)</t>
  </si>
  <si>
    <t>การพัฒนาเกษตรกรปราดเปรื่อง (6,896,500.-)</t>
  </si>
  <si>
    <t>การพัฒนาเมืองเกษตรสีเขียว</t>
  </si>
  <si>
    <t xml:space="preserve">การพัฒนาเกษตรกรปราดเปรื่อง </t>
  </si>
  <si>
    <t>ติดตามประเมินผล ภายใต้นโยบายสำคัญของ กษ.</t>
  </si>
  <si>
    <t>เงินงบกลาง</t>
  </si>
  <si>
    <t>รับ คชจ.กิจกรรมย่อยของหน่วยงานสนับสนุน (เงินงบประมาณ)</t>
  </si>
  <si>
    <t>รับ คชจ.กิจกรรมย่อยของหน่วยงานสนับสนุน งบกลาง</t>
  </si>
  <si>
    <t>รับ คชจ.กิจกรรมย่อยของหน่วยงานสนับสนุน-ค่าเสื่อม</t>
  </si>
  <si>
    <t>กลุ่มบัญชี</t>
  </si>
  <si>
    <t>5203</t>
  </si>
  <si>
    <t xml:space="preserve">1. ค่าใช้จ่ายบุคลากร </t>
  </si>
  <si>
    <t xml:space="preserve">2. ค่าใช้จ่ายด้านการฝึกอบรม </t>
  </si>
  <si>
    <t xml:space="preserve">3.ค่าใช้จ่ายเดินทาง </t>
  </si>
  <si>
    <t xml:space="preserve">4. ค่าตอบแทน ใช้สอย และสาธารณูปโภค </t>
  </si>
  <si>
    <t xml:space="preserve">5. ค่าเสื่อมราคาและค่าตัดจำหน่าย </t>
  </si>
  <si>
    <t>บริหารจัดการระบบเทคโนโลยี</t>
  </si>
  <si>
    <t>การบริหารจัดการเกษตรเขตเศรษฐกิจ</t>
  </si>
  <si>
    <t>ปี 57</t>
  </si>
  <si>
    <t>งบกลาง(สวัสดิการฯ+ฉุกเฉิน)</t>
  </si>
  <si>
    <t>งบกลาง.-เงินสวัสดิการ</t>
  </si>
  <si>
    <t>งบกลาง-ตชว.(ฉุกเฉิน)</t>
  </si>
  <si>
    <t xml:space="preserve">                    รวมต้นทุนผลผลิต</t>
  </si>
  <si>
    <t>งบประมาณ</t>
  </si>
  <si>
    <t>กลาง</t>
  </si>
  <si>
    <t>การพัฒนาเทคโนยี่สารสนเทศและการสื่อสาร</t>
  </si>
  <si>
    <t>เป็นถ่วงน้ำหนัก ของ ศสส.</t>
  </si>
  <si>
    <t>เป็นถ่วงน้ำหนัก ของ สลก.</t>
  </si>
  <si>
    <t>เงินงบประมาณ-ของหน่วยงานหลัก</t>
  </si>
  <si>
    <t>งบกลาง-ของหน่วยงานหลัก</t>
  </si>
  <si>
    <t>ค่าเสื่อมราคา-ของหน่วยงานหลัก</t>
  </si>
  <si>
    <t>7.สศท.1-12</t>
  </si>
  <si>
    <t>1.กนผ.</t>
  </si>
  <si>
    <t>2.กศป.</t>
  </si>
  <si>
    <t>กนผ.</t>
  </si>
  <si>
    <t>กศป.</t>
  </si>
  <si>
    <t>สศท.1</t>
  </si>
  <si>
    <t>สศท.2</t>
  </si>
  <si>
    <t>สศท.3</t>
  </si>
  <si>
    <t>สศท.4</t>
  </si>
  <si>
    <t>สศท.5</t>
  </si>
  <si>
    <t>สศท.6</t>
  </si>
  <si>
    <t>สศท.7</t>
  </si>
  <si>
    <t>สศท.8</t>
  </si>
  <si>
    <t>สศท.9</t>
  </si>
  <si>
    <t>สศท.10</t>
  </si>
  <si>
    <t>สศท.11</t>
  </si>
  <si>
    <t>สศท.12</t>
  </si>
  <si>
    <t>สศท.1-12</t>
  </si>
  <si>
    <t>5.กศป.</t>
  </si>
  <si>
    <t>เหตุผล (ต้นทุนต่อหน่วยลดลง/เพิ่มขึ้น เนื่องจาก...... )</t>
  </si>
  <si>
    <t>-</t>
  </si>
  <si>
    <t>ค่าเสื่อม-ปี 57</t>
  </si>
  <si>
    <t>ค่าเสื่อม-ปี 58</t>
  </si>
  <si>
    <t>ผลรวมต้องสัมพันธ์กับ</t>
  </si>
  <si>
    <t>ตารางที่ 1 ของโปรแกรม</t>
  </si>
  <si>
    <t>2. ศึกษา วิเคราะห์ วิจัยเศรษฐกิจการเกษตร</t>
  </si>
  <si>
    <t>3. ศึกษา วิเคราะห์เศรษฐกิจการเกษตรระหว่างประเทศ</t>
  </si>
  <si>
    <t>ตารางที่ 4 ข้อ</t>
  </si>
  <si>
    <t>จากตาราง 4</t>
  </si>
  <si>
    <t>แหล่งข้อมูล ตาราง 5</t>
  </si>
  <si>
    <t>รวมต้นทุน ของหน่วยงานหลัก+ต้นทุนหน่วยงานสนับสนุน</t>
  </si>
  <si>
    <t>GL</t>
  </si>
  <si>
    <t>แหล่งเงิน</t>
  </si>
  <si>
    <t>จำนวนเงิน</t>
  </si>
  <si>
    <t>10</t>
  </si>
  <si>
    <t>12=2+…+10</t>
  </si>
  <si>
    <t>14</t>
  </si>
  <si>
    <t>15</t>
  </si>
  <si>
    <t>โครงการ</t>
  </si>
  <si>
    <t>เศรษฐกิจเกษตรการค้าเสรี</t>
  </si>
  <si>
    <t>งานประสานสำรองข้าวฉุกเฉินอาเซียนบวกสาม</t>
  </si>
  <si>
    <t>องค์การการค้าโลกและพหุภาคี</t>
  </si>
  <si>
    <t>คชจ.ทางตรง</t>
  </si>
  <si>
    <t>ค่าสาธารณู</t>
  </si>
  <si>
    <t>งบกลาง(สวัสดิการ)</t>
  </si>
  <si>
    <t>งบกลาง(ฉุกเฉิน)</t>
  </si>
  <si>
    <t>คชจทางอ้อม</t>
  </si>
  <si>
    <t>16</t>
  </si>
  <si>
    <t>17=13+...+16</t>
  </si>
  <si>
    <t>18=12+17</t>
  </si>
  <si>
    <t>ประกอบด้วย 902, 904,906,908,910,912,913</t>
  </si>
  <si>
    <t>ประกอบด้วย 901, 903,905,907,909,911</t>
  </si>
  <si>
    <t>งบกลาง-ฉุกเฉิน</t>
  </si>
  <si>
    <t>งบกลาง-สวัสดิการ</t>
  </si>
  <si>
    <t>ผลต่าง</t>
  </si>
  <si>
    <t>ต้นทุนต่อหน่วยลดลง เนื่องจาก</t>
  </si>
  <si>
    <t>กิจกรรมย่อยหน่วยงานหลัก</t>
  </si>
  <si>
    <t>กิจกรรมย่อย</t>
  </si>
  <si>
    <t>กิจกรรมสนับสนุน</t>
  </si>
  <si>
    <t>6. ค่าจำหน่ายจากการขายสินทรัพย์ (ทรัพย์สินที่ตัดค่าเสื่อมราคาแล้วเหลือแต่มูลค่าซาก)</t>
  </si>
  <si>
    <t>7. ค่าใช้จ่ายอื่น</t>
  </si>
  <si>
    <t xml:space="preserve">   18. T/E-โอนร/ดผ/ดให้บก.</t>
  </si>
  <si>
    <t xml:space="preserve">   19. T/E-โอนร/ดผ/ดให้บก.</t>
  </si>
  <si>
    <t>กพร.</t>
  </si>
  <si>
    <t>ตารางที่ 7  เปรียบเทียบผลการคำนวณต้นทุนกิจกรรมย่อยแยกตามแหล่งของเงิน ปีงบประมาณ พ.ศ.2560 (ต่อ)</t>
  </si>
  <si>
    <t xml:space="preserve">ตารางที่ 12  รายงานเปรียบเทียบต้นทุนทางอ้อมตามลักษณะของต้นทุน (คงที่/ผันแปร)   (ข้อมูลจากระบบ GFMIS ณ วันที่ 19 ธ.ค. 2560) </t>
  </si>
  <si>
    <t xml:space="preserve">ตารางที่ 11  รายงานเปรียบเทียบต้นทุนทางตรงตามศูนย์ต้นทุนแยกตามประเภทค่าใช้จ่ายและลักษณะของต้นทุน (คงที่/ผันแปร)   (ข้อมูลจากระบบ GFMIS ณ วันที่ 19 ธ.ค. 2560) </t>
  </si>
  <si>
    <t>ด้านการวิเทศสัมพันธ์</t>
  </si>
  <si>
    <t>งานด้านประชาสัมพันธ์</t>
  </si>
  <si>
    <t>งานด้านงบประมาณ</t>
  </si>
  <si>
    <t>งานด้านอาคารสถานที่</t>
  </si>
  <si>
    <t>งานด้านวินัยและความรับผิดทางละเมิด</t>
  </si>
  <si>
    <t>จำนวนเงินงบประมาณที่ได้รับจัดสรร</t>
  </si>
  <si>
    <t>การพัฒนาโครงสร้างพื้นฐานและระบบโลจิสติกส์</t>
  </si>
  <si>
    <t>การพัฒนาเกษตรอินทรีย์</t>
  </si>
  <si>
    <t>ถ่วงน้ำหนัก ปี 60</t>
  </si>
  <si>
    <t>กิจกรรมย่อย ปี 60</t>
  </si>
  <si>
    <t>ศึกษา และติดตามระบบส่งเสริมการเกษตรแปลงใหญ่</t>
  </si>
  <si>
    <t>ติดตามประเมินผลการดำเนินงานโครงการธนาคารสินค้าเกษตร</t>
  </si>
  <si>
    <t>ติดตามประเมินผลโครงการส่งเสริมเกษตรทฤษฎีใหม่</t>
  </si>
  <si>
    <t>ติดตามประเมินผลโครงการส่งเสริมเกษตรทฤษฎีใหม่-ปี 59 ไม่มี</t>
  </si>
  <si>
    <t>ศึกษา และติดตามระบบส่งเสริมการเกษตรแปลงใหญ่-(ปี59 ไม่มี)</t>
  </si>
  <si>
    <t>ติดตามประเมินผลการดำเนินงานโครงการธนาคารสินค้าเกษตร(ปี59 ไม่มี)</t>
  </si>
  <si>
    <t>ปี 60</t>
  </si>
  <si>
    <t>1. บริหารจัดการด้านเศรษฐกิจการเกษตร</t>
  </si>
  <si>
    <t>1. จัดทำและเสนอแนะยุทธศาสตร์ แผนพัฒนาและมาตรการทางการเกษตร</t>
  </si>
  <si>
    <t>4. จัดทำและเผยแพร่สารสนเทศด้านเศรษฐกิจการเกษตร</t>
  </si>
  <si>
    <t>5. ดำเนินงานบริหารจัดการด้านเศรษฐกิจการเกษตรระดับภูมิภาค</t>
  </si>
  <si>
    <t>6. การติดตามประเมินผลการดำเนินงานของกระทรวงเกษตรและสหกรณ์</t>
  </si>
  <si>
    <t>ศูนย์</t>
  </si>
  <si>
    <t>ต้นทุนผลผลิตประจำปีงบประมาณ พ.ศ.2560 (ต.ค.59-ก.ย.60)</t>
  </si>
  <si>
    <t>ปีงบประมาณ พ.ศ.2560</t>
  </si>
  <si>
    <t xml:space="preserve">เงินเดือน ค่าจ้างและพนักงานราชการ </t>
  </si>
  <si>
    <t>ผลผลิตย่อย ปี 60</t>
  </si>
  <si>
    <t>พัฒนาศูนย์เรียนรู้</t>
  </si>
  <si>
    <t>ข้อมูลเกษตรกรกลาง</t>
  </si>
  <si>
    <t>หน่วยนับแตกต่างกัน จึงไม่สามารถเปรียบเทียบได้</t>
  </si>
  <si>
    <t>การพัฒนาเกษตรกรปราดเปรื่อง  (Smart Farmer)= ปี 60 เป็น พัฒนาศูนย์เรียนรู้</t>
  </si>
  <si>
    <t>กิจกรรมย่อย-หลัก</t>
  </si>
  <si>
    <t>กิจกรรมย่อย-สนับสนุน</t>
  </si>
  <si>
    <t>แผนบริหารราชการแผ่นดิน พ.ศ.2552-2554 ของกษ.เสนอ สศช. เพื่อขอความเห็นชอบจาก ครม.</t>
  </si>
  <si>
    <t>งานด้านเทคโนโลยีสารสนเทศและการสื่อสาร***</t>
  </si>
  <si>
    <t>งานด้านเครือข่ายอินเตอร์เน็ตและเวบไซต์***</t>
  </si>
  <si>
    <t>ข้อมูลทะเบียนเกษตรกร = ปี 60 เป็นข้อมูลเกษตรกรกลาง</t>
  </si>
  <si>
    <t xml:space="preserve">ต้นทุนต่อหน่วยลดลง เนื่องจาก ผู้บริหารมีปริมาณงานที่นอกเหนือภารกิจของ สศก. จากข้อสั่งการของผู้บริหาร กษ.  เพิ่มขึ้น </t>
  </si>
  <si>
    <t>ทำให้งานสรุป วิเคราะห์ กลั่นกรองงานก่อนเสนอผู้บริหาร ปี 2560 เพิ่มขึ้นจากปี 2559 จำนวน 2,284 เรื่อง คิดเป็นร้อยละ 7.89</t>
  </si>
  <si>
    <t>ปี2560 ศปศ. ได้รับสนับสนุนงบประมาณบูรณาการจากกระทรวงคมนาคม ในการศึกษาวิเคราะห์ศักยภาพโลจิสติกสินค้าเกษตร</t>
  </si>
  <si>
    <t>ของไทย กรณีศึกษากล้วย และสินค้ากุ้ง ซึ่งเป็นการทำงานร่วมกับหลายหน่วยงาน แต่งบประมาณอยู่ที่ ศปศ.</t>
  </si>
  <si>
    <t xml:space="preserve"> 1)  ภายใต้กรอบความร่วมมืออาเซียน</t>
  </si>
  <si>
    <t xml:space="preserve">     - การประชุมระดับรัฐมนตรีเกษตรและเจ้าหน้าที่อาวุโสด้านเกษตรและป่าไม้อาเซียน  ได้ดำเนินการเข้าร่วมประชุมมากกว่าแผนที่ตั้งไว้  จำนวน 2 ครั้ง ได้แก่ การประชุม AMAF ครั้งที่ 38 และการประชุม AMAF ครั้งที่ 39 และ AMAF+3  เป็นต้น</t>
  </si>
  <si>
    <t xml:space="preserve">     - การประชุมว่าด้วยความมั่นคงอาหารของอาเซียน  ได้ดำเนินการเข้าร่วมประชุมมากกว่าแผนที่ตั้งไว้  จำนวน 1 ครั้ง  ได้แก่ การประชุม Solving the Triple Challenge to Agriculture: Trade, New Technologies and Food Security  เป็นต้น</t>
  </si>
  <si>
    <t xml:space="preserve">     - การประชุมคณะทำงานด้านถิ่นกำเนิดสินค้าอาเซียน  ได้ดำเนินการเข้าร่วมประชุมมากกว่าแผนที่ตั้งไว้  จำนวน 2 ครั้ง  ได้แก่  การประชุมคณะกรรมการประสานงานการดำเนินการภายใต้ความตกลงการค้าสินค้าของอาเซียน (CCA) ครั้งที่ 24  เป็นต้น</t>
  </si>
  <si>
    <t xml:space="preserve"> 2)  ภายใต้กรอบอนุภูมิภาคและทวิภาคีกับประเทศสมาชิก</t>
  </si>
  <si>
    <t xml:space="preserve">      - การประชุมในกรอบอนุภูมิภาค  ได้ดำเนินการเข้าร่วมประชุมมากกว่าแผนที่ตั้งไว้  จำนวน 9 ครั้ง  ได้แก่ การประชุมคณะทำงานด้านการเกษตรครั้งที่ 14 ภายใต้กรอบ GMS  และการประชุมระดับรัฐมนตรี GMS ครั้งที่ 22  เป็นต้น</t>
  </si>
  <si>
    <t xml:space="preserve">      - การประชุมในกรอบทวิภาคี  ได้ดำเนินการเข้าร่วมประชุมมากกว่าแผนที่ตั้งไว้  จำนวน 5 ครั้ง  ได้แก่  การประชุมคณะกรรมการร่วมทางการค้า (JTC) ไทย-กัมพูชา ครั้งที่ 6  และการประชุมการจัดทำแผนยุทธศาสตร์ด้านการพัฒนาไทย-ลาว (ระยะ 5 ปี)  เป็นต้น</t>
  </si>
  <si>
    <t xml:space="preserve"> 1)  ภายใต้กรอบความตกลงการค้าเสรีของไทย </t>
  </si>
  <si>
    <t xml:space="preserve">      - การประชุมภายใต้กรอบความตกลงไทย-คู่เจรจา  ในปีงบประมาณ 2560  ทางประเทศไทยโดยหน่วยงานกระทรวงพาณิชย์ได้รับหน้าที่เป็นเจ้าภาพจัดการประชุมระหว่างประเทศ  ทำให้ไม่ได้ใช้งบประมาณตามที่ตั้งไว้</t>
  </si>
  <si>
    <t xml:space="preserve">      - การประชุมภายใต้กรอบความตกลงอื่นๆ (FTAAP/BIMSTEC/TPP/EU)  ทางด้านคู่ประเทศเจรจาได้ชะลอการเจรจา  ทำให้ไม่ได้ใช้งบประมาณตามที่ตั้งไว้</t>
  </si>
  <si>
    <t xml:space="preserve"> 1)  ภายใต้กรอบความร่วมมือทางเศรษฐกิจเอเปค</t>
  </si>
  <si>
    <t xml:space="preserve">      - การประชุม  Senior  official  Meeting  ของเอเปค  ได้ดำเนินการเข้าร่วมประชุมมากกว่าแผนที่ตั้งไว้  จำนวน 7 ครั้ง  ได้แก่  การประชุม Policy Partnership  on  Food  Security  ภายใต้กรอบเอเปค  และการประชุม 2017  APEC  Expert  Consultation on  Food  Loss  and  Waste  Reduction ภายใต้กรอบเอเปค  เป็นต้น</t>
  </si>
  <si>
    <t xml:space="preserve"> 2)  ภายใต้กรอบความร่วมมือองค์การสหประชาชาติ (UN) และองค์กรที่เกี่ยวข้อง</t>
  </si>
  <si>
    <t xml:space="preserve">      - การประชุมคณะกรรมการเศรษฐกิจและสังคมแห่งเอเชียและแปซิฟิค (ESCAP)  ได้ดำเนินการเข้าร่วมประชุมมากกว่าแผนที่ตั้งไว้  จำนวน  1 ครั้ง ได้แก่ การประชุม High-level  Political  Forum on Sustainsble Development  และการประชุม High-level Segment of ECOSOC  เป็นต้น</t>
  </si>
  <si>
    <t xml:space="preserve">      - การประชุมภายใต้กรอบองค์การอาหารและเกษตรแห่งสหประชาชาติ (FAO) ได้ดำเนินการเข้าร่วมประชุมมากกว่าแผนที่ตั้งไว้  จำนวน 7 ครั้ง</t>
  </si>
  <si>
    <t xml:space="preserve">ต้นทุนต่อหน่วยลดลง เนื่องจาก มีการจ้างเหมาบริการเป็นรายย่อยเพิ่มขึ้น </t>
  </si>
  <si>
    <t xml:space="preserve">     เนื่องจาก ปี 2559 เป็นการจัดหาครุภัณฑ์คอมพิวเตอร์ที่มีคุณภาพสูง ใช้สำหรับประมวลผลข้อมูลที่มีขนาดใหญ่ </t>
  </si>
  <si>
    <t>ส่วนปี 2560 เป็นการจัดหาครุภัณฑ์สำหรับงานสำนักงานทั่วไป จึงทำให้ต้นทุนต่อหน่วยของปี 2559 สูงกว่า ปี 2560</t>
  </si>
  <si>
    <t xml:space="preserve">   25. ค่าใช้จ่ายอื่น</t>
  </si>
  <si>
    <t xml:space="preserve">   22. T/E-ภายในกรม</t>
  </si>
  <si>
    <t xml:space="preserve">   1. เงินช่วยเหลือพิเศษกรณีเสียชีวิต</t>
  </si>
  <si>
    <t xml:space="preserve">   2. บำนาญปกติ</t>
  </si>
  <si>
    <t xml:space="preserve">   3. บำนาญพิเศษ</t>
  </si>
  <si>
    <t xml:space="preserve">   4. ช่วยผู้รับเบี้ยหวัด</t>
  </si>
  <si>
    <t xml:space="preserve">   5. ช่วยค่าครองชีพ</t>
  </si>
  <si>
    <t xml:space="preserve">   6 .เงินบำเหน็จ</t>
  </si>
  <si>
    <t xml:space="preserve">   7.เงินบำเหน็จตกทอด</t>
  </si>
  <si>
    <t xml:space="preserve">   8. บำเหน็จดำรงชีพ</t>
  </si>
  <si>
    <t xml:space="preserve">   9. เงินช่วยพิเศษ-บ/นตาย</t>
  </si>
  <si>
    <t xml:space="preserve">   10. บำเหน็จรายเดือน</t>
  </si>
  <si>
    <t xml:space="preserve">   11. เงินช่วยการศึกษาบุตร</t>
  </si>
  <si>
    <t xml:space="preserve">   12. ค่ารักษาบำนาญนอก-รัฐ</t>
  </si>
  <si>
    <t xml:space="preserve">   13. ค่ารักษาบำนาญ-ใน-รัฐ</t>
  </si>
  <si>
    <t xml:space="preserve">   14. รักษาบำนาญ-นอก-เอกชน</t>
  </si>
  <si>
    <t xml:space="preserve">   15. รักษาบำนาญ-ใน-เอกชน</t>
  </si>
  <si>
    <t xml:space="preserve">   16. T/Eเบิกเกินส่งคืน</t>
  </si>
  <si>
    <t xml:space="preserve">   17. T/E-โอนเงินให้สรก.</t>
  </si>
  <si>
    <t xml:space="preserve">   20. T/E-โอนร/ดผ/ดให้บก.</t>
  </si>
  <si>
    <t xml:space="preserve">   21. T/E-ปรับเงินฝากคลัง</t>
  </si>
  <si>
    <t xml:space="preserve">   23. คชจ.อุดหนุน-ภาครัฐ</t>
  </si>
  <si>
    <t>โครงการ สวก</t>
  </si>
  <si>
    <t>ปี งบประมาณ พ.ศ.2561</t>
  </si>
  <si>
    <t>ตารางที่ 3  รายงานต้นทุนกิจกรรมย่อยแยกตามแหล่งเงิน ปีงบประมาณ ปีงบประมาณ พ.ศ.2561 (ข้อมูลจากระบบ GFMIS  ณ วันที่ 16 ธ.ค. 2561)</t>
  </si>
  <si>
    <t>ตารางที่ 4  รายงานต้นทุนกิจกรรมหลักแยกตามแหล่งของเงิน ปีงบประมาณ พ.ศ.2561 (ข้อมูลจากระบบ GFMIS  ณ วันที่ 16 ธ.ค. 2561)</t>
  </si>
  <si>
    <t>รายละเอียดการปันส่วนให้ ตารางที่ 5 รายงานต้นทุนผลผลิตย่อยแยกตามแหล่งของเงิน ปีงบประมาณ ปีงบประมาณ พ.ศ.2561 (ข้อมูลจากระบบ GFMIS  ณ วันที่ 16 ธ.ค. 2561)</t>
  </si>
  <si>
    <t>ตารางที่ 6  รายงานต้นทุนผลผลิตหลักแยกตามแหล่งของเงิน ปีงบประมาณ พ.ศ.2561 (ข้อมูลจากระบบ GFMIS  ณ วันที่ 16 ธ.ค. 2561)</t>
  </si>
  <si>
    <t>ตารางที่ 7  เปรียบเทียบผลการคำนวณต้นทุนกิจกรรมย่อยแยกตามแหล่งของเงิน  (ข้อมูลจากระบบ GFMIS  ณ วันที่ 16 ธ.ค. 2561)</t>
  </si>
  <si>
    <t>ตารางเปรียบเทียบผลการคำนวณต้นทุนผลผลิตระหว่างปีงบประมาณ พ.ศ.2560 และปีงบประมาณ พ.ศ.2561</t>
  </si>
  <si>
    <t>ต้นทุนผลผลิตประจำปีงบประมาณ พ.ศ.2561 (ต.ค.60-ก.ย.61)</t>
  </si>
  <si>
    <t>ตารางที่ 7  เปรียบเทียบผลการคำนวณต้นทุนกิจกรรมย่อยแยกตามแหล่งของเงิน ปีงบประมาณ พ.ศ.2561 (ต่อ)</t>
  </si>
  <si>
    <t>กิจกรรมย่อย ปี 61</t>
  </si>
  <si>
    <t>ตารางที่ 8  เปรียบเทียบผลการคำนวณต้นทุนกิจกรรมหลักแยกตามแหล่งของเงิน   (ข้อมูลจากระบบ GFMIS  ณ วันที่ 16 ธ.ค. 2561)</t>
  </si>
  <si>
    <t>ตารางที่ 9  เปรียบเทียบผลการคำนวณต้นทุนผลผลิตย่อยแยกตามแหล่งของเงิน  (ข้อมูลจากระบบ GFMIS  ณ วันที่ 16 ธ.ค. 2561)</t>
  </si>
  <si>
    <t>ผลผลิตย่อย ปี 61</t>
  </si>
  <si>
    <t>ตารางที่ 9  เปรียบเทียบผลการคำนวณต้นทุนผลผลิตย่อยแยกตามแหล่งของเงิน (ต่อ) ปี61</t>
  </si>
  <si>
    <t>ตารางที่ 10  เปรียบเทียบผลการคำนวณต้นทุนผลผลิตหลักแยกตามแหล่งของเงิน  (ข้อมูลจากระบบ GFMIS  ณ วันที่ 16 ธ.ค. 2561)</t>
  </si>
  <si>
    <t>รายงานเปรียบเทียบผลการคำนวณต้นทุนผลผลิตระหว่างปีงบประมาณ พ.ศ.2560 และปีงบประมาณ พ.ศ.2561</t>
  </si>
  <si>
    <t xml:space="preserve">ตารางที่ 12  รายงานเปรียบเทียบต้นทุนทางอ้อมตามลักษณะของต้นทุน (คงที่/ผันแปร)(ข้อมูลจากระบบ GFMIS ณ วันที่ 19 ธ.ค. 2560) </t>
  </si>
  <si>
    <t>ปีงบประมาณ พ.ศ.2561</t>
  </si>
  <si>
    <t>เหตุผล ปี61</t>
  </si>
  <si>
    <t>ถ่วงน้ำหนัก ปี 61</t>
  </si>
  <si>
    <t>กิจกรรมหลัก ปี 61</t>
  </si>
  <si>
    <t>ผลผลิตหลัก ปี 61</t>
  </si>
  <si>
    <t>15. จัดทำและพัฒนาระบบฐานข้อมูลเศรษฐกิจการเกษตร</t>
  </si>
  <si>
    <r>
      <rPr>
        <b/>
        <sz val="14"/>
        <rFont val="TH SarabunPSK"/>
        <family val="2"/>
      </rPr>
      <t xml:space="preserve">ต้นทุนต่อหน่วย-เพิ่มขึ้น  </t>
    </r>
    <r>
      <rPr>
        <sz val="14"/>
        <rFont val="TH SarabunPSK"/>
        <family val="2"/>
      </rPr>
      <t xml:space="preserve"> เนื่องจาก ในปีงบประมาณ 2560 มีการเข้าร่วมประชุมที่นอกเหนือจากแผนที่ตั้งไว้ ดังนี้</t>
    </r>
  </si>
  <si>
    <r>
      <rPr>
        <b/>
        <sz val="14"/>
        <rFont val="TH SarabunPSK"/>
        <family val="2"/>
      </rPr>
      <t xml:space="preserve">ต้นทุนต่อหน่วย-ลดลง  </t>
    </r>
    <r>
      <rPr>
        <sz val="14"/>
        <rFont val="TH SarabunPSK"/>
        <family val="2"/>
      </rPr>
      <t xml:space="preserve"> เนื่องจาก </t>
    </r>
  </si>
  <si>
    <t>901,903, 905, 907, 909,911, 913, 914</t>
  </si>
  <si>
    <t>902, 904, 906, 908 910 ,912</t>
  </si>
  <si>
    <t>ประกอบด้วย 901, 903,905,907,909,911,913,914-แผน-บูรณาการ</t>
  </si>
  <si>
    <t>ประกอบด้วย 902, 904,906,908,910,912-แผน-พื้นฐาน</t>
  </si>
  <si>
    <t>คน</t>
  </si>
  <si>
    <t>งานวิจัยภาวะเศรษฐกิจสังคมครัวเรือนเกษตร</t>
  </si>
  <si>
    <t>ต้นทุน-เพิ่ม/ลดลง เนื่องจาก...</t>
  </si>
  <si>
    <t>ตารางที่ 3  รายงานต้นทุนกิจกรรมย่อยแยกตามแหล่งเงิน  ปีงบประมาณ พ.ศ.2561 (ข้อมูลจากระบบ GFMIS  ณ วันที่ 16 ธ.ค. 2561)</t>
  </si>
  <si>
    <t>2+3+4+6+7+8+10+14</t>
  </si>
  <si>
    <t>5+11+15</t>
  </si>
  <si>
    <t>9+13</t>
  </si>
  <si>
    <t>ถ่วงน้ำหนัก ปี 57</t>
  </si>
  <si>
    <t xml:space="preserve"> จัดทำแผนพัฒนาการเกษตร</t>
  </si>
  <si>
    <t>จัดทำรายงานภาวะ ศก.</t>
  </si>
  <si>
    <t xml:space="preserve"> แนวทางพัฒนาการเกษตร</t>
  </si>
  <si>
    <t xml:space="preserve"> วิเคราะห์โครงการ/ งปม.</t>
  </si>
  <si>
    <t xml:space="preserve"> ติดตามผลงานของ กษ.</t>
  </si>
  <si>
    <t xml:space="preserve"> ติดตามผลเงินของ กษ.</t>
  </si>
  <si>
    <t>งานจัดประชุม</t>
  </si>
  <si>
    <t>บก.กำหนดเป็นกิจกรรมสนับสนุน ปี60</t>
  </si>
  <si>
    <t>ติดตามประเมินผลการดำเนินงานภายใต้นโยบายสำคัญของ กษ.</t>
  </si>
  <si>
    <t>บก.กำหนดเป็นกิจกรรมสนับสนุน ปี61</t>
  </si>
  <si>
    <t>บก.กำหนดเป็นกิจกรรมสนับสนุน ปี62</t>
  </si>
  <si>
    <t>บก.กำหนดเป็นกิจกรรมสนับสนุน ปี63</t>
  </si>
  <si>
    <t xml:space="preserve">       รายการ-ที่โปรแกรมตัดออก (รายการที่ 1-22)</t>
  </si>
  <si>
    <t>เป็นถ่วงน้ำหนัก ของ กศป.</t>
  </si>
  <si>
    <t>กองทุนฟื้นฟูฯ</t>
  </si>
  <si>
    <t>กองทุนปรับโครงสร้างฯ</t>
  </si>
  <si>
    <t xml:space="preserve">   24. คชจ.อุดหนุน-ภาครัฐ</t>
  </si>
  <si>
    <t xml:space="preserve">   26. ค่าใช้จ่ายอื่น</t>
  </si>
  <si>
    <t xml:space="preserve">   27. ค่าใช้จ่ายระหว่างกัน</t>
  </si>
  <si>
    <r>
      <t>ตารางที่ 2</t>
    </r>
    <r>
      <rPr>
        <b/>
        <sz val="16"/>
        <rFont val="TH SarabunPSK"/>
        <family val="2"/>
      </rPr>
      <t xml:space="preserve"> รายงานต้นทุนตามศูนย์ต้นทุนแยกตามประเภทค่าใช้จ่าย ปีงบประมาณ พ.ศ.2561 (ข้อมูลจากระบบ GFMIS  ณ วันที่ 16 ธ.ค. 2561)</t>
    </r>
  </si>
  <si>
    <t>10=3+…+9</t>
  </si>
  <si>
    <t>11=2+10</t>
  </si>
  <si>
    <t xml:space="preserve">       รายการ-เป็นรายการไม่เป็นต้นทุน (ผ่านการวิเคราะห์) รายการที่ 23-27</t>
  </si>
  <si>
    <r>
      <t>ตารางที่ 1</t>
    </r>
    <r>
      <rPr>
        <b/>
        <sz val="14"/>
        <color indexed="8"/>
        <rFont val="TH SarabunPSK"/>
        <family val="2"/>
      </rPr>
      <t xml:space="preserve">  รายงานต้นทุนรวมของหน่วยงาน  โดยแยกประเภทตามแหล่งของเงิน ปีงบประมาณ พ.ศ.2561 (ข้อมูลจากระบบ GFMIS  ณ วันที่ 16 ธ.ค. 2561)</t>
    </r>
  </si>
  <si>
    <r>
      <t xml:space="preserve">        </t>
    </r>
    <r>
      <rPr>
        <b/>
        <u/>
        <sz val="13"/>
        <color indexed="8"/>
        <rFont val="TH SarabunPSK"/>
        <family val="2"/>
      </rPr>
      <t>หัก</t>
    </r>
    <r>
      <rPr>
        <b/>
        <sz val="13"/>
        <color indexed="8"/>
        <rFont val="TH SarabunPSK"/>
        <family val="2"/>
      </rPr>
      <t xml:space="preserve">  ต้นทุนที่ไม่เกี่ยวข้องในการผลิตผลผลิต</t>
    </r>
  </si>
  <si>
    <t>เหตุผล ปี 61</t>
  </si>
  <si>
    <t>ด้านการวิเทศสัมพันธ์*</t>
  </si>
  <si>
    <t>งานด้านเครือข่ายอินเตอร์เน็ตและเว็บไชต์*</t>
  </si>
  <si>
    <t>งานเทคโนโลยีสารสนเทศและการสื่อสาร*</t>
  </si>
  <si>
    <t>รถยนต์คำนวนค่าเสื่อม 8 ปี</t>
  </si>
  <si>
    <t>ปี 61</t>
  </si>
  <si>
    <t>พิมพ์เอง</t>
  </si>
  <si>
    <t>เดิม copy มา</t>
  </si>
  <si>
    <t>งานประเมินผลสัมฤทธิ์แผนงาน/คก.( ลด)</t>
  </si>
  <si>
    <t>ต้นทุนผลผลิตย่อยลดลง</t>
  </si>
  <si>
    <r>
      <rPr>
        <b/>
        <sz val="14"/>
        <rFont val="TH SarabunPSK"/>
        <family val="2"/>
      </rPr>
      <t>ต้นทุนต่อหน่วย-เพิ่มขึ้น</t>
    </r>
    <r>
      <rPr>
        <sz val="14"/>
        <rFont val="TH SarabunPSK"/>
        <family val="2"/>
      </rPr>
      <t xml:space="preserve"> เนื่องจาก ในปีงบประมาณ 2561 มีการประชุมที่นอกเหนือจากแผนที่ตั้งไว้ ดังนี้</t>
    </r>
  </si>
  <si>
    <r>
      <rPr>
        <b/>
        <sz val="14"/>
        <rFont val="TH SarabunPSK"/>
        <family val="2"/>
      </rPr>
      <t>ต้นทุนต่อหน่วย-เพิ่มขึ้น</t>
    </r>
    <r>
      <rPr>
        <sz val="14"/>
        <rFont val="TH SarabunPSK"/>
        <family val="2"/>
      </rPr>
      <t xml:space="preserve"> เนื่องจาก</t>
    </r>
  </si>
  <si>
    <t>งานด้านการเงินและบัญชี*</t>
  </si>
  <si>
    <t>งานด้านการพัสดุ*</t>
  </si>
  <si>
    <t>งานด้านตรวจสอบภายใน*</t>
  </si>
  <si>
    <t>งานด้านบริหารบุคลากร*</t>
  </si>
  <si>
    <t>งานด้านพัฒนาทรัพยากรบุคคล*</t>
  </si>
  <si>
    <t>งานอำนวยการ*</t>
  </si>
  <si>
    <t>งานด้านพัฒนาระบบบริหารราชการ*</t>
  </si>
  <si>
    <t>งานด้านสารบรรณ*</t>
  </si>
  <si>
    <t>งานด้านยานพาหนะ*</t>
  </si>
  <si>
    <t>งานด้านแผนงาน*</t>
  </si>
  <si>
    <t>งานด้านประชาสัมพันธ์*</t>
  </si>
  <si>
    <t>งานด้านงบประมาณ*</t>
  </si>
  <si>
    <t>งานด้านอาคารสถานที่*</t>
  </si>
  <si>
    <t>งานด้านวินัยและความรับผิดทางละเมิด*</t>
  </si>
  <si>
    <t xml:space="preserve"> 1. กิจกรรมย่อย 807 งานศูนย์ปฏิบัติการเศรษฐกิจการเกษตรปี 60 จาก 5 เรื่อง เป็น 7 เรื่อง</t>
  </si>
  <si>
    <t xml:space="preserve"> 2. กิจกรรมย่อย 310 ด้านประชาสัมพันธ์ ปี 60 จาก 26,104 เรื่อง เป็น 67,387 เรื่อง</t>
  </si>
  <si>
    <t>การพัฒนาเมืองเกษตรสีเขียว -ปี 61 ไม่มี***</t>
  </si>
  <si>
    <t>การบริหารจัดการเกษตรเขตเศรษฐกิจสำหรับสินค้าเกษตรที่สำคัญ***</t>
  </si>
  <si>
    <t>การพัฒนาเกษตรอินทรีย์***</t>
  </si>
  <si>
    <t>งานวิเคราะห์เศรษฐกิจพืชไร่นา***</t>
  </si>
  <si>
    <t>งานวิเคราะห์เศรษฐกิจพืชสวน***</t>
  </si>
  <si>
    <t>งานวิเคราะห์เศรษฐกิจปศุสัตว์และประมง***</t>
  </si>
  <si>
    <t>งานวิเคราะห์ปัจจัยการผลิต***</t>
  </si>
  <si>
    <t>งานวิเคราะห์มาตรการความช่วยเหลือเกษตรกร***</t>
  </si>
  <si>
    <t>งานวิเคราะห์เศรษฐกิจพืชอาหารและพลังงานทดแทน***</t>
  </si>
  <si>
    <t>งานวิเคราะห์ภาวะเศรษฐกิจสังคมครัวเรือน***</t>
  </si>
  <si>
    <t>การพัฒนาฐานข้อมูลเกษตรกรกลาง***</t>
  </si>
  <si>
    <t>พัฒนาศูนย์เรียนรู้การเพิ่มประสิทธิภาพการผลิตสินค้าเกษตร***</t>
  </si>
  <si>
    <t>ติดตามประเมินผลโครงการระบบส่งเสริมการเกษตรแปลงใหญ่***</t>
  </si>
  <si>
    <t>ติดตามประเมินผลโครงการธนาคารสินค้าเกษตร***</t>
  </si>
  <si>
    <t>ติดตามประเมินผลโครงการส่งเสริมเกษตรทฤษฎีใหม่***</t>
  </si>
  <si>
    <t>จัดทำต้นทุนการผลิต ราคา***</t>
  </si>
  <si>
    <t>ต.11</t>
  </si>
  <si>
    <t>ต.12</t>
  </si>
  <si>
    <t>งานวิเคราะห์เศรษฐกิจพืชไร่นา****</t>
  </si>
  <si>
    <t>การบริหารจัดการเกษตรเขตเศรษฐกิจ***</t>
  </si>
  <si>
    <t>งานด้านเครือข่ายอินเตอร์เน็ตและเวบไซต์*</t>
  </si>
  <si>
    <t>งานด้านเทคโนโลยีสารสนเทศและการสื่อสาร*</t>
  </si>
  <si>
    <t xml:space="preserve">              *** หมายถึง กิจกรรมย่อยแผนบูรณาการฯ</t>
  </si>
  <si>
    <t>7. การบริหารจัดการเกษตรเขตเศรษฐกิจสำหรับสินค้าเกษตรที่สำคัญ***</t>
  </si>
  <si>
    <t>8. การพัฒนาฐานข้อมูลเกษตรกรกลาง***</t>
  </si>
  <si>
    <t>9. ศึกษา และติดตามระบบส่งเสริมการเกษตรแปลงใหญ่***</t>
  </si>
  <si>
    <t>***10. ติดตามประเมินผลการดำเนินงานโครงการธนาคารสินค้าเกษตร</t>
  </si>
  <si>
    <t>11. ติดตามประเมินผลโครงการส่งเสริมเกษตรทฤษฎีใหม่***</t>
  </si>
  <si>
    <t>12. พัฒนาศูนย์เรียนรู้การเพิ่มประสิทธิภาพการผลิตสินค้าเกษตร***</t>
  </si>
  <si>
    <t>13. การพัฒนาเกษตรอินทรีย์***</t>
  </si>
  <si>
    <t>14. ติดตามสถานการณ์สินค้าเกษตร ปัจจัยการผลิต และภาวะเศรษฐกิจสังคมครัวเรือนและสถาบันเกษตรกร-แผนบูรณาการฯ***</t>
  </si>
  <si>
    <t>15. จัดทำและพัฒนาระบบฐานข้อมูลสารสนเทศต้นทุนการผลิตและผลตอบแทนในสินค้าเกษตรที่สำคัญ***</t>
  </si>
  <si>
    <t>ข้อมูลต้นทุนการผลิตและราคาสินค้าเกษตร***</t>
  </si>
  <si>
    <t>2. โครงการบริหารจัดการเขตเกษตรเศรษฐกิจสินค้าเกษตรที่สำคัญ***</t>
  </si>
  <si>
    <t>3. โครงการพัฒนาฐานข้อมูลเกษตรกรกลาง***</t>
  </si>
  <si>
    <t>4. โครงการระบบส่งเสริมการเกษตรแบบแปลงใหญ่***</t>
  </si>
  <si>
    <t>5. โครงการธนาคารสินค้าเกษตร***</t>
  </si>
  <si>
    <t>6. โครงการส่งเสริมเกษตรทฤษฎีใหม่***</t>
  </si>
  <si>
    <t>7. โครงการศูนย์เรียนรู้การเพิ่มประสิทธิภาพการผลิตสินค้าเกษตร***</t>
  </si>
  <si>
    <t>8. โครงการเกษตรอินทรีย์***</t>
  </si>
  <si>
    <t>9. โครงการติดตามสถานการณ์สินค้าเกษตร ปัจจัยการผลิตและภาวะเศรษฐกิจสังคมครัวเรือนและสถาบันเกษตรกร***</t>
  </si>
  <si>
    <t>10. โครงการเพิ่มประสิทธิภาพการจัดทำสารสนเทศต้นทุนการผลิตภาคเกษตร***</t>
  </si>
  <si>
    <t>การพัฒนาโครงสร้างพื้นฐานและระบบโลจิสติกส์***</t>
  </si>
  <si>
    <t>8. การพัฒนาฐานข้อมูลเกษตรกรกลาง***=โครงการปรับปรุงข้อมูลทะเบียนเกษตรกร-</t>
  </si>
  <si>
    <t>9. พัฒนาศูนย์เรียนรู้การเพิ่มประสิทธิภาพการผลิตสินค้าเกษตร***</t>
  </si>
  <si>
    <t>10. การพัฒนาโครงสร้างพื้นฐานและระบบโลจิสติกส์***</t>
  </si>
  <si>
    <t>11. ศึกษา และติดตามระบบส่งเสริมการเกษตรแปลงใหญ่***</t>
  </si>
  <si>
    <t>12. ติดตามประเมินผลการดำเนินงานโครงการธนาคารสินค้าเกษตร***</t>
  </si>
  <si>
    <t>13. ติดตามประเมินผลโครงการส่งเสริมเกษตรทฤษฎีใหม่***</t>
  </si>
  <si>
    <t>14. การพัฒนาเกษตรอินทรีย์***</t>
  </si>
  <si>
    <t>16. จัดทำและพัฒนาระบบฐานข้อมูลสารสนเทศต้นทุนการผลิตและผลตอบแทนในสินค้าเกษตรที่สำคัญ***</t>
  </si>
  <si>
    <t>การพัฒนาเมืองเกษตรสีเขียว***</t>
  </si>
  <si>
    <t>รายงานการวิเคราะห์เศรษฐกิจการเกษตร***</t>
  </si>
  <si>
    <t>1.การบริหารจัดการเกษตรเขตเศรษฐกิจ***</t>
  </si>
  <si>
    <t>7. โครงการธนาคารสินค้าเกษตร***-เริ่ม ปี60</t>
  </si>
  <si>
    <t>10. โครงการติดตามสถานการณ์สินค้าเกษตร ปัจจัยการผลิตและภาวะเศรษฐกิจสังคมครัวเรือนและสถาบันเกษตรกร***</t>
  </si>
  <si>
    <t>11. โครงการเพิ่มประสิทธิภาพการจัดทำสารสนเทศต้นทุนการผลิตภาคเกษตร***</t>
  </si>
  <si>
    <t>ศึกษา และติดตามระบบส่งเสริมการเกษตรแปลงใหญ่***</t>
  </si>
  <si>
    <t>ติดตามประเมินผลการดำเนินงานโครงการธนาคารสินค้าเกษตร***</t>
  </si>
  <si>
    <t>เป็นข้อมูลเกษตรกรกลาง***</t>
  </si>
  <si>
    <t>พัฒนาศูนย์เรียนรู้***</t>
  </si>
  <si>
    <t>2.โครงการปรับปรุงข้อมูลทะเบียนเกษตรกรปี 59 =โครงการพัฒนาฐานข้อมูลเกษตรกรกลาง ระยะที่ 1</t>
  </si>
  <si>
    <t xml:space="preserve">3. โครงการศูนย์เรียนรู้การเพิ่มประสิทธิภาพการผลิตสินค้าเกษตร*** </t>
  </si>
  <si>
    <t>4. บริหารจัดการด้านเศรษฐกิจการเกษตร</t>
  </si>
  <si>
    <t>6. โครงการระบบส่งเสริมการเกษตรแบบแปลงใหญ่***</t>
  </si>
  <si>
    <t>8. โครงการส่งเสริมเกษตรทฤษฎีใหม่***</t>
  </si>
  <si>
    <t xml:space="preserve"> 9.โครงการเกษตรอินทรีย์***</t>
  </si>
  <si>
    <t>ผลรวม-กระทบยอด</t>
  </si>
  <si>
    <t>การพัฒนาเมืองเกษตรสีเขียว*** -ปี 61 ไม่มี</t>
  </si>
  <si>
    <t>พัฒนาศูนย์เรียนรู้ ***</t>
  </si>
  <si>
    <t>2. การศึกษา วิเคราะห์ วิจัยเศรษฐกิจการเกษตร</t>
  </si>
  <si>
    <t>800 801 802 803 804 805 806 809</t>
  </si>
  <si>
    <t>500 501 502 503 504</t>
  </si>
  <si>
    <t>700 701 702 704 705 707 710</t>
  </si>
  <si>
    <t xml:space="preserve">600 601 602 603 </t>
  </si>
  <si>
    <t>902 904 906 908 910 912 913-แผน-พื้นฐาน</t>
  </si>
  <si>
    <t xml:space="preserve"> 901 903 905 907 909 911 913 914 (แผนบูรฯ)</t>
  </si>
  <si>
    <t>400 401 402 403</t>
  </si>
  <si>
    <t>กิจกรรมที่ 1 2 3 4 5 6</t>
  </si>
  <si>
    <t>กิจกรรมที่ 7</t>
  </si>
  <si>
    <t>กิจกรรมที่ 8</t>
  </si>
  <si>
    <t>กิจกรรมที่ 9</t>
  </si>
  <si>
    <t>กิจกรรมที่ 10</t>
  </si>
  <si>
    <t>กิจกรรมที่ 11</t>
  </si>
  <si>
    <t>กิจกรรมที่ 12</t>
  </si>
  <si>
    <t>กิจกรรมที่ 13</t>
  </si>
  <si>
    <t>กิจกรรมที่ 14</t>
  </si>
  <si>
    <t>กิจกรรมที่ 15</t>
  </si>
  <si>
    <t>ต้นทุนต่อหน่วย-ลดลง เนื่องจาก</t>
  </si>
  <si>
    <t>ต้นทุนรวม ลดลง เนื่องจาก</t>
  </si>
  <si>
    <t>งานวิเคราะห์วิจัยเศรษฐกิจทรัพยากรการเกษตร***</t>
  </si>
  <si>
    <t xml:space="preserve"> ผู้บริหารมีการปรับเปลี่ยนนโยบายด้านพัฒนาทรัพยากรบุคคล โดนเน้นให้จัดฝึกอบรมหลักสูตรทางการบริหารจัดการ หลักสูตรทั่วไป ส่งผลให้จำนวนหลักสูตรการอบรมลดลง (ปี 2560 จำนวน 27 หลักสูตร /645 ชม.) มีผู้เข้าอบรม 2,374 คน ขณะที่ ปี 2561 จัดอบรม จำนวน 18 หลักสูตร/300 ชม. มีผู้เข้าอบรม 1,735 คน</t>
  </si>
  <si>
    <t xml:space="preserve">      ปีงบประมาณ 2560 งานศูนย์ปฏิบัติการเศรษฐกิจการเกษตร ได้รับมอบหมายให้ดำเนินงานบูรณาการ การศึกษาวิเคราะห์ศักยภาพโลจิสติกส์สินค้าเกษตรของไทย กรณีศึกษากล้วยและสินค้ากุ้ง ร่วมกับ กนผ. รวมถึงโครงการศึกษา ศักยภาพการบริหารจัดการสินค้าเกษตร ระหว่างไทยและภูมิภาคอาเซียน +3 และทั้งสองโครงการได้สิ้นสุดลงในปี 2560 ปี 2561 สิ้นสุดโครงการบูรณาการ จึงมีผลทำให้การเปรียบเทียบต้นทุนรวมกับปี 2561 ลดลง</t>
  </si>
  <si>
    <t xml:space="preserve"> - ปี 2561 ได้ดำเนินการจัดการต้อนรับคณะผู้เชี่ยวชาญและเจ้าหน้าที่จากหน่วยงานราชการต่างประเทศ ผู้แทนจากสถานฑูต คณะศึกษาดูงานจากต่างประเทศ ในแต่ละคณะมีผู้ติดตามและผู้เข้าร่วมเกินจากแผนที่กำหนดไว้ พร้อมทั้งมีการจัดเช่ารถรับ-ส่ง และจัดเลี้ยงรับรองในแต่ละคณะ ส่งผลให้ต้นทุนต่อหน่วยเพิ่มขึ้นจากปี 2560 </t>
  </si>
  <si>
    <t>เนื่องจากมีการปรับเปลี่ยนกระบวนการดำเนินงาน 1) บูรณาการการทำงานร่วมกันทั้งหน่วยงานภายในของศูนย์ประเมินผล โดยออกไปทำพร้อมกับโครงการอื่นๆ  หน่วยงานที่เกี่ยวข้องร่วมจัดเก็บข้อมูลในพื้นที่ 2) บางจังหวัดที่ต้องใช้ระยะเวลาในการเดินทางมากเปลี่ยนจากการเดินทางไปสำรวจ เป็นวิธีการส่งแบบสอบถามให้ผู้ที่เกี่ยวข้องกรอกข้อมูลแทน 3) มีการจัดทำแผนเพิ่มประสิทธิภาพการปฎิบัติงาน โดยพัฒนานวัตถกรรมการจัดทำแบบประเมินผลโครงการผ่าน e-Form ซึ่งลดระยะเวลาการประเมินผลโครงการตั้งแต่เริ่มต้นจนนำเสนอข้อมูลต่อผู้บริหาร (จากเดิมอย่างน้อย 285 นาที คงเหลือ 110 นาท ต่อแบบสอบถาม 50 ชุด (การประเมินผลโครงการ) และคงเหลือ 165 นาที (ในกรณีที่ใช้แบบสัมภาษณ์กระดาษ และคีย์ข้อมูลลงบน e-Form) และค่าใช้จ่ายในการติดตามประเมินผลเฉลี่ย 120 บาท (ต่อการออกแบบสัมภาษณ์ 50 ชุด/ชุดละ 4 หน้า ค่ากระดาษ 0.19 บาท* 100 แผ่น = 19 บาท ค่าถ่ายเอกสาร 0.50 บาท* 200 หน้า = 100 บาท)</t>
  </si>
  <si>
    <t xml:space="preserve"> - การประชุมภายใต้กรอบองค์การการค้าโลก (WTO) ได้เข้าร่วมประชุมนอกแผน จำนวน 2 การประชุม จึงมีความจำเป็นต้องขยายวันประชุมจากเดิมจำนวน 5 วัน เพิ่มเป็น 8 วัน ส่งผลให้ต้นทุนต่อหน่วยเพิ่มขึ้นจากปี 2560
- การดำเนินงานภายใต้กรอบความร่วมมือทวิภาคี ได้ดำเนินการวิเคราะห์และจัดทำข้อมูลทางการค้าและเข้าร่วมประชุมตามแผน จำนวน 18 เรื่อง เพิ่มขึ้นจากแผนที่ตั้งไว้ จำนวน 38 เรื่อง ส่งผลให้ต้นทุนต่อหน่วยเพิ่มขึ้นจากปี 2560</t>
  </si>
  <si>
    <t xml:space="preserve"> - การประชุมภายใต้กรอบองค์การการค้าโลก (WTO) ได้เข้าร่วมประชุมนอกแผน จำนวน 2 การประชุม จึงมีความจำเป็นต้องขยายวันประชุมจากเดิมจำนวน 5 วัน เพิ่มเป็น 8 วัน ส่งผลให้ต้นทุนต่อหน่วยเพิ่มขึ้นจากปี 2560
 - การดำเนินงานภายใต้กรอบความร่วมมือทวิภาคี ได้ดำเนินการวิเคราะห์และจัดทำข้อมูลทางการค้าและเข้าร่วมประชุมตามแผน จำนวน 18 เรื่อง เพิ่มขึ้นจากแผนที่ตั้งไว้ จำนวน 38 เรื่อง ส่งผลให้ต้นทุนต่อหน่วยเพิ่มขึ้นจากปี 2560</t>
  </si>
  <si>
    <r>
      <rPr>
        <b/>
        <sz val="14"/>
        <color indexed="8"/>
        <rFont val="TH SarabunPSK"/>
        <family val="2"/>
      </rPr>
      <t>สวศ. ต้นทุน-เพิ่มเนื่องจาก</t>
    </r>
    <r>
      <rPr>
        <sz val="14"/>
        <color indexed="8"/>
        <rFont val="TH SarabunPSK"/>
        <family val="2"/>
      </rPr>
      <t xml:space="preserve">
   </t>
    </r>
    <r>
      <rPr>
        <b/>
        <sz val="14"/>
        <color indexed="8"/>
        <rFont val="TH SarabunPSK"/>
        <family val="2"/>
      </rPr>
      <t xml:space="preserve"> - หมวดครุภัณฑ์ยานพาหนะและขนส่ง เพิ่มขึ้นปี61= 2 คัน</t>
    </r>
    <r>
      <rPr>
        <sz val="14"/>
        <color indexed="8"/>
        <rFont val="TH SarabunPSK"/>
        <family val="2"/>
      </rPr>
      <t xml:space="preserve"> รวม 155,131.68 บาท (1 คัน ได้มา 7 ก.พ.61 =65,378.47 บาท , 1 คัน ได้มา 9 มี.ค.61=89,753.21 บาท)</t>
    </r>
  </si>
  <si>
    <r>
      <rPr>
        <b/>
        <sz val="14"/>
        <color theme="1"/>
        <rFont val="TH SarabunPSK"/>
        <family val="2"/>
      </rPr>
      <t>สศท.1-12 ต้นทุน-เพิ่มเนื่องจาก 
    - หมวดครุภัณฑ์ยานพาหนะและขนส่ง เพิ่มขึ้นปี61= 24 คัน</t>
    </r>
    <r>
      <rPr>
        <sz val="14"/>
        <color theme="1"/>
        <rFont val="TH SarabunPSK"/>
        <family val="2"/>
      </rPr>
      <t xml:space="preserve"> ได้มา 1 มี.ค.61 รวมค่าเสื่อมฯ 3,225,879.15 บาท (สศท.1= 3 คัน ,สศท.2= 2 คัน ,สศท.3= 2 คัน ,สศท.4=1 คัน ,สศท.5=1 คัน ,สศท.6=3คัน ,สศท.7=2 คัน ,สศท.8=2 คัน ,สศท.9=2 คัน ,สศท.10=4 คัน ,สศท.12 =2 คัน)
 </t>
    </r>
  </si>
  <si>
    <r>
      <rPr>
        <b/>
        <sz val="14"/>
        <color indexed="8"/>
        <rFont val="TH SarabunPSK"/>
        <family val="2"/>
      </rPr>
      <t>ศปผ. ต้นทุน-เพิ่มเนื่องจาก</t>
    </r>
    <r>
      <rPr>
        <sz val="14"/>
        <color indexed="8"/>
        <rFont val="TH SarabunPSK"/>
        <family val="2"/>
      </rPr>
      <t xml:space="preserve">
    </t>
    </r>
    <r>
      <rPr>
        <b/>
        <sz val="14"/>
        <color indexed="8"/>
        <rFont val="TH SarabunPSK"/>
        <family val="2"/>
      </rPr>
      <t>1. หมวดครุภัณฑ์ยานพาหนะและขนส่ง เพิ่มขึ้นปี 60=3 คัน</t>
    </r>
    <r>
      <rPr>
        <sz val="14"/>
        <color indexed="8"/>
        <rFont val="TH SarabunPSK"/>
        <family val="2"/>
      </rPr>
      <t xml:space="preserve"> เป็นค่าเสื่อม 171,182.40 บาท (ได้มา 15 มี.ค.60= 1 คัน, ได้มา 17 มี.ค.60=2 คัน) ในปี 61 คำนวณค่าเสื่อมฯ  เต็มปี 314,446.25 บาท ทำให้ค่าเสื่อมเพิ่มขั้น 143,263.85 บาท 
    </t>
    </r>
    <r>
      <rPr>
        <b/>
        <sz val="14"/>
        <color indexed="8"/>
        <rFont val="TH SarabunPSK"/>
        <family val="2"/>
      </rPr>
      <t>2. หมวดครุภัณฑ์ยานพาหนะและขนส่ง เพิ่มขึ้นปี 61=1 คัน</t>
    </r>
    <r>
      <rPr>
        <sz val="14"/>
        <color indexed="8"/>
        <rFont val="TH SarabunPSK"/>
        <family val="2"/>
      </rPr>
      <t xml:space="preserve"> ได้มา 9 มี.ค.61  ค่าเสื่อมฯ 89,753.21 บาท 
    </t>
    </r>
    <r>
      <rPr>
        <b/>
        <sz val="14"/>
        <color indexed="8"/>
        <rFont val="TH SarabunPSK"/>
        <family val="2"/>
      </rPr>
      <t>3. หมวดครุภัณฑ์คอมพิวเตอร์ เพิ่มขึ้นปี 61</t>
    </r>
    <r>
      <rPr>
        <sz val="14"/>
        <color indexed="8"/>
        <rFont val="TH SarabunPSK"/>
        <family val="2"/>
      </rPr>
      <t xml:space="preserve">  รวม 306,791.36 บาท  (ได้มา 13 มี.ค.61 =68,732.11 บาท , ได้มา 16 มี.ค.61=15,745.16 บาท, ได้มา 21 มี.ค.61= 38,872.90 บาท  และ ได้มา 23 มี.ค.61=183,441.19 บาท)
</t>
    </r>
  </si>
  <si>
    <t xml:space="preserve">กนผ. ต้นทุน-เพิ่มเนื่องจาก
    - หมวดครุภัณฑ์ยานพาหนะและขนส่ง เพิ่มขึ้นปี61=4 คัน รวมค่าเสื่อมฯ 330,763.38 บาท (2 คัน ได้มา 1 ม.ค.61 =151,256.96 บาท, 2 คัน  ได้มา 9 มี.ค.61=179,506.42 บาท) </t>
  </si>
  <si>
    <r>
      <rPr>
        <b/>
        <sz val="14"/>
        <color indexed="8"/>
        <rFont val="TH SarabunPSK"/>
        <family val="2"/>
      </rPr>
      <t>สลก. ต้นทุน-ลดลงเนื่องจาก ค่าเสื่อมฯ ภาพรวม  ลดลง 1,594,313.59 บาท</t>
    </r>
    <r>
      <rPr>
        <sz val="14"/>
        <color indexed="8"/>
        <rFont val="TH SarabunPSK"/>
        <family val="2"/>
      </rPr>
      <t xml:space="preserve">
     </t>
    </r>
    <r>
      <rPr>
        <b/>
        <sz val="14"/>
        <color indexed="8"/>
        <rFont val="TH SarabunPSK"/>
        <family val="2"/>
      </rPr>
      <t xml:space="preserve"> 1. ค่าเสื่อมราคาสิ้นสุดอายุการใช้งาน ปี 2560</t>
    </r>
    <r>
      <rPr>
        <sz val="14"/>
        <color indexed="8"/>
        <rFont val="TH SarabunPSK"/>
        <family val="2"/>
      </rPr>
      <t xml:space="preserve"> ได้แก่ หมวดครุภัณฑ์คอมพิวเตอร์ (ระบบสารสนเทศ)  เป็นเงิน 2,242,891.87 บาท ( ได้มา 17 พ.ค.2555) 
      2. </t>
    </r>
    <r>
      <rPr>
        <b/>
        <sz val="14"/>
        <color indexed="8"/>
        <rFont val="TH SarabunPSK"/>
        <family val="2"/>
      </rPr>
      <t>หมวดครุภัณฑ์ยานพาหนะและขนส่ง เพิ่มขึ้นปี61= 4 คัน</t>
    </r>
    <r>
      <rPr>
        <sz val="14"/>
        <color indexed="8"/>
        <rFont val="TH SarabunPSK"/>
        <family val="2"/>
      </rPr>
      <t xml:space="preserve"> รวมค่าเสื่อมฯ 648,578.28 บาท ได้มา 9 มี.ค.61</t>
    </r>
  </si>
  <si>
    <r>
      <t xml:space="preserve">ศสส. ต้นทุน-ลดลงเนื่องจาก 
    - ค่าเช่าสายสื่อสาร ลดลง 1,478,196.46 บาท  </t>
    </r>
    <r>
      <rPr>
        <sz val="14"/>
        <color theme="1"/>
        <rFont val="TH SarabunPSK"/>
        <family val="2"/>
      </rPr>
      <t>ยกเลิกสัญญาเช่าสายสื่อสารสำหรับตู้ Kiosk ที่ติดตั้งที่ ธกส. 76 จังหวัด (ปี 60=3,817,552.07 บาท ,ปี61=2,339,355.61 บาท)</t>
    </r>
  </si>
  <si>
    <t>ผู้บริหารมีปริมาณงานที่นอกเหนือภารกิจหลักของ สศก. จากข้อสั่งการของผู้บริหาร กษ. เพิ่มขึ้น ได้แก่ การติดตาม ครม.สัญจร งานขับเคลื่อนการปฏิรูปประเทศ ยุทธศาสตร์ชาติ และการสร้างความสามัคคีปรองดอง ของกระทรวงเกษตรและสหกรณ์ โดย สศก. มีภารกิจในการลงพื้นที่ติดตามงาน และได้รับมอบหมายในฐานะผู้แทนกระทรวงเกษตรและสหกรณ์ ทำให้งานสรุป วิเคราะห์ กลั่นกรองงานก่อนเสนอผู้บริหาร ปี 2561 มีจำนวนเพิ่มขึ้นจาก 2560 จำนวน 2,453 เรื่อง คิดเป็นร้อยละ 34.82</t>
  </si>
  <si>
    <t>การพัฒนาโครงสร้างพื้นฐานและระบบโลจิสติกส์-ปี61 ไปปรากฏภายใต้แผนพื้นฐาน</t>
  </si>
  <si>
    <r>
      <rPr>
        <u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</rPr>
      <t xml:space="preserve"> * หมายถึง กิจกรรมมาตรฐานของงานบริหารจัดการภาครัฐ(กิจกรรมสนับสนุน)</t>
    </r>
  </si>
  <si>
    <r>
      <rPr>
        <b/>
        <u/>
        <sz val="14"/>
        <color theme="1"/>
        <rFont val="TH SarabunPSK"/>
        <family val="2"/>
      </rPr>
      <t>หมายเหตุ</t>
    </r>
    <r>
      <rPr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แก้ไข</t>
    </r>
  </si>
  <si>
    <r>
      <t xml:space="preserve">15. ติดตามสถานการณ์สินค้าเกษตร ปัจจัยการผลิต และภาวะเศรษฐกิจสังคมครัวเรือนและสถาบันเกษตรกร***
</t>
    </r>
    <r>
      <rPr>
        <sz val="14"/>
        <color theme="1"/>
        <rFont val="TH SarabunPSK"/>
        <family val="2"/>
      </rPr>
      <t xml:space="preserve"> - </t>
    </r>
    <r>
      <rPr>
        <u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</rPr>
      <t xml:space="preserve"> (เอกสาร งปม.เริ่ม ปี 61) ในปี 60 โครงการอยู่ภายใต้แผนพื้นฐาน โดยแยก ต้นทุนจาก กิจกรรมหลัก ศึกษา วิเคราะห์ วิจัยเศรษฐกิจการเกษตร)</t>
    </r>
  </si>
  <si>
    <t>5. โครงการพัฒนาโครงสร้างพื้นฐานและระบบโลจิสติกส์สินค้าเกษตร*** (ปี 61 อยู่แผนพื้นฐานฯ)</t>
  </si>
  <si>
    <r>
      <t>ตารางที่ 5</t>
    </r>
    <r>
      <rPr>
        <b/>
        <sz val="14"/>
        <color theme="1"/>
        <rFont val="TH SarabunPSK"/>
        <family val="2"/>
      </rPr>
      <t xml:space="preserve"> รายงานต้นทุนผลผลิตย่อยแยกตามแหล่งของเงิน ปีงบประมาณ พ.ศ.2561 (ข้อมูลจากระบบ GFMIS  ณ วันที่ 16 ธ.ค. 2561)</t>
    </r>
  </si>
  <si>
    <t>ศึกษา และติดตามระบบส่งเสริมการเกษตรแปลงใหญ่***(เริ่มปี60)</t>
  </si>
  <si>
    <t>ติดตามประเมินผลการดำเนินงานโครงการธนาคารสินค้าเกษตร*** (เริ่มปี60)</t>
  </si>
  <si>
    <t>ติดตามประเมินผลโครงการส่งเสริมเกษตรทฤษฎีใหม่*** (เริ่มปี60)</t>
  </si>
  <si>
    <r>
      <rPr>
        <b/>
        <u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</rPr>
      <t xml:space="preserve"> เปลี่ยนการปั่นส่วนค่าใช้จ่ายกิจกรรมย่อยหน่วยงานสนับสนุน ให้กิจกรรมย่อยหน่วยงานหลัก จาก เดิมปั่นส่วนค่าใช้จ่ายอัตราส่วนเท่ากัน เป็นปั่นส่วนตามอัตราส่วนค่าใช้จ่ายของหน่วยงานหลัก</t>
    </r>
  </si>
  <si>
    <t>ค่าใช้จ่ายปันส่วน สำหรับคำนวณต้นทุนผลผลิต ปี 2561</t>
  </si>
  <si>
    <t>ค่าจ้าง รปภ. ปันส่วน อาคาร 8 ชั้น ตามพื้นที่</t>
  </si>
  <si>
    <t xml:space="preserve">สลก </t>
  </si>
  <si>
    <t>0701500003</t>
  </si>
  <si>
    <t>=</t>
  </si>
  <si>
    <t>ส่วน</t>
  </si>
  <si>
    <t>ศสส</t>
  </si>
  <si>
    <t>0701500007</t>
  </si>
  <si>
    <t>กนผ</t>
  </si>
  <si>
    <t>0701500008</t>
  </si>
  <si>
    <t>กศป</t>
  </si>
  <si>
    <t>0701500009</t>
  </si>
  <si>
    <t>ค่าเสื่อมราคา-อาคารและสิ่งปลูกสร้างไม่ระบุ ปันส่วน อาคาร 8 ชั้น ตามพื้นที่</t>
  </si>
  <si>
    <t>ค่าไฟฟ้า อาคารประเมินผล ปันส่วน ตามพื้นที่</t>
  </si>
  <si>
    <t>0701500006</t>
  </si>
  <si>
    <t>ค่าไฟฟ้า อาคาร 8 ชั้น ปันส่วน ตามพื้นที่</t>
  </si>
  <si>
    <t>0701500031</t>
  </si>
  <si>
    <t>ค่าน้ำประปา อาคาร 8 ชั้น ปันส่วน ตามจำนวนคน</t>
  </si>
  <si>
    <t>กตน.</t>
  </si>
  <si>
    <t>0701500001</t>
  </si>
  <si>
    <t>0701500002</t>
  </si>
  <si>
    <t>ค่าน้ำประปา AEC อาคาร AEC ปันส่วน ตามจำนวนคน</t>
  </si>
  <si>
    <t>ค่ารักษาพยาบาล คชจ นำมาปันส่วน ตามจำนวนคนที่มีสิทธิเบิกได้ (กรมบัญชีกลาง ศูนย์ต้นทุน 0701599998)</t>
  </si>
  <si>
    <t>0701500019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</si>
</sst>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  <numFmt numFmtId="190" formatCode="_(* #,##0.000_);_(* \(#,##0.000\);_(* &quot;-&quot;??_);_(@_)"/>
    <numFmt numFmtId="191" formatCode="_-* #,##0.00_-;\-* #,##0.00_-;_-* &quot;-&quot;_-;_-@_-"/>
    <numFmt numFmtId="192" formatCode="_-* #,##0.00_-;\-* #,##0.00_-;_-* &quot;-&quot;???_-;_-@_-"/>
    <numFmt numFmtId="193" formatCode="_(* #,##0.0000_);_(* \(#,##0.0000\);_(* &quot;-&quot;??_);_(@_)"/>
    <numFmt numFmtId="194" formatCode="[&lt;=99999999][$-D000000]0\-####\-####;[$-D000000]#\-####\-####"/>
  </numFmts>
  <fonts count="71" x14ac:knownFonts="1">
    <font>
      <sz val="10"/>
      <name val="Arial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0"/>
      <name val="TH SarabunPSK"/>
      <family val="2"/>
    </font>
    <font>
      <b/>
      <i/>
      <sz val="14"/>
      <name val="TH SarabunPSK"/>
      <family val="2"/>
    </font>
    <font>
      <sz val="14"/>
      <color indexed="8"/>
      <name val="TH SarabunPSK"/>
      <family val="2"/>
    </font>
    <font>
      <i/>
      <sz val="14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u/>
      <sz val="13"/>
      <color indexed="8"/>
      <name val="TH SarabunPSK"/>
      <family val="2"/>
    </font>
    <font>
      <b/>
      <sz val="13"/>
      <color indexed="8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rgb="FF00B050"/>
      <name val="TH SarabunPSK"/>
      <family val="2"/>
    </font>
    <font>
      <b/>
      <u/>
      <sz val="14"/>
      <color theme="1"/>
      <name val="TH SarabunPSK"/>
      <family val="2"/>
    </font>
    <font>
      <sz val="10"/>
      <color rgb="FF00B050"/>
      <name val="TH SarabunPSK"/>
      <family val="2"/>
    </font>
    <font>
      <i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14"/>
      <color theme="1"/>
      <name val="Angsana New"/>
      <family val="1"/>
      <charset val="222"/>
    </font>
    <font>
      <u/>
      <sz val="14"/>
      <color theme="1"/>
      <name val="TH SarabunPSK"/>
      <family val="2"/>
    </font>
    <font>
      <sz val="10"/>
      <color theme="1"/>
      <name val="Arial"/>
      <family val="2"/>
      <charset val="222"/>
    </font>
    <font>
      <b/>
      <sz val="18"/>
      <color theme="1"/>
      <name val="TH SarabunPSK"/>
      <family val="2"/>
      <charset val="222"/>
    </font>
    <font>
      <b/>
      <sz val="14"/>
      <color theme="1"/>
      <name val="Angsana New"/>
      <family val="1"/>
      <charset val="222"/>
    </font>
    <font>
      <sz val="12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sz val="10"/>
      <color theme="1"/>
      <name val="Arial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u/>
      <sz val="18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D0D7E5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0">
    <xf numFmtId="0" fontId="0" fillId="0" borderId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5" fillId="0" borderId="0"/>
    <xf numFmtId="0" fontId="17" fillId="0" borderId="0"/>
    <xf numFmtId="0" fontId="5" fillId="0" borderId="0"/>
    <xf numFmtId="0" fontId="5" fillId="2" borderId="1" applyNumberFormat="0" applyProtection="0">
      <alignment horizontal="left" vertical="center" indent="1"/>
    </xf>
    <xf numFmtId="0" fontId="5" fillId="3" borderId="1" applyNumberFormat="0" applyProtection="0">
      <alignment horizontal="left" vertical="center" indent="1"/>
    </xf>
    <xf numFmtId="187" fontId="9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" fillId="0" borderId="0"/>
    <xf numFmtId="0" fontId="16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2" borderId="1" applyNumberFormat="0" applyProtection="0">
      <alignment horizontal="left" vertical="center" indent="1"/>
    </xf>
    <xf numFmtId="0" fontId="3" fillId="3" borderId="1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611">
    <xf numFmtId="0" fontId="0" fillId="0" borderId="0" xfId="0"/>
    <xf numFmtId="0" fontId="18" fillId="0" borderId="0" xfId="0" applyFont="1" applyFill="1"/>
    <xf numFmtId="187" fontId="18" fillId="0" borderId="0" xfId="0" applyNumberFormat="1" applyFont="1" applyFill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vertical="top"/>
    </xf>
    <xf numFmtId="187" fontId="19" fillId="0" borderId="0" xfId="50" applyFont="1" applyFill="1" applyAlignment="1">
      <alignment vertical="top"/>
    </xf>
    <xf numFmtId="0" fontId="18" fillId="0" borderId="8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12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 wrapText="1"/>
    </xf>
    <xf numFmtId="0" fontId="19" fillId="0" borderId="23" xfId="0" applyFont="1" applyFill="1" applyBorder="1" applyAlignment="1">
      <alignment vertical="top"/>
    </xf>
    <xf numFmtId="0" fontId="18" fillId="0" borderId="24" xfId="0" applyFont="1" applyFill="1" applyBorder="1" applyAlignment="1">
      <alignment vertical="top" wrapText="1"/>
    </xf>
    <xf numFmtId="0" fontId="18" fillId="0" borderId="28" xfId="0" applyFont="1" applyFill="1" applyBorder="1" applyAlignment="1">
      <alignment vertical="top"/>
    </xf>
    <xf numFmtId="187" fontId="18" fillId="0" borderId="0" xfId="50" applyFont="1" applyFill="1" applyAlignment="1">
      <alignment vertical="top"/>
    </xf>
    <xf numFmtId="187" fontId="18" fillId="0" borderId="0" xfId="50" applyFont="1" applyFill="1"/>
    <xf numFmtId="0" fontId="19" fillId="0" borderId="0" xfId="0" applyFont="1" applyFill="1"/>
    <xf numFmtId="187" fontId="20" fillId="0" borderId="0" xfId="50" applyFont="1"/>
    <xf numFmtId="187" fontId="21" fillId="0" borderId="0" xfId="50" applyFont="1"/>
    <xf numFmtId="187" fontId="21" fillId="0" borderId="0" xfId="50" applyFont="1" applyAlignment="1">
      <alignment horizontal="center"/>
    </xf>
    <xf numFmtId="0" fontId="21" fillId="0" borderId="0" xfId="0" applyFont="1" applyAlignment="1">
      <alignment horizontal="left" indent="1"/>
    </xf>
    <xf numFmtId="0" fontId="21" fillId="0" borderId="0" xfId="0" applyFont="1"/>
    <xf numFmtId="0" fontId="2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0" borderId="36" xfId="0" applyFont="1" applyBorder="1" applyAlignment="1">
      <alignment vertical="top"/>
    </xf>
    <xf numFmtId="0" fontId="18" fillId="4" borderId="0" xfId="0" applyFont="1" applyFill="1" applyAlignment="1">
      <alignment vertical="top"/>
    </xf>
    <xf numFmtId="0" fontId="18" fillId="0" borderId="0" xfId="0" applyFont="1"/>
    <xf numFmtId="187" fontId="19" fillId="0" borderId="0" xfId="50" applyFont="1" applyFill="1"/>
    <xf numFmtId="187" fontId="18" fillId="0" borderId="0" xfId="50" applyFont="1" applyFill="1" applyAlignment="1">
      <alignment vertical="center"/>
    </xf>
    <xf numFmtId="187" fontId="19" fillId="0" borderId="37" xfId="50" applyFont="1" applyFill="1" applyBorder="1" applyAlignment="1">
      <alignment horizontal="center" vertical="center"/>
    </xf>
    <xf numFmtId="187" fontId="19" fillId="0" borderId="38" xfId="50" applyFont="1" applyFill="1" applyBorder="1" applyAlignment="1">
      <alignment horizontal="center" vertical="center"/>
    </xf>
    <xf numFmtId="187" fontId="19" fillId="0" borderId="39" xfId="50" applyFont="1" applyFill="1" applyBorder="1" applyAlignment="1">
      <alignment horizontal="center" vertical="center"/>
    </xf>
    <xf numFmtId="187" fontId="19" fillId="0" borderId="40" xfId="50" applyFont="1" applyFill="1" applyBorder="1" applyAlignment="1">
      <alignment horizontal="center" vertical="center" wrapText="1"/>
    </xf>
    <xf numFmtId="187" fontId="19" fillId="0" borderId="11" xfId="50" applyFont="1" applyFill="1" applyBorder="1" applyAlignment="1">
      <alignment horizontal="center" vertical="center" wrapText="1"/>
    </xf>
    <xf numFmtId="187" fontId="19" fillId="0" borderId="41" xfId="5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vertical="top"/>
    </xf>
    <xf numFmtId="0" fontId="23" fillId="0" borderId="42" xfId="0" applyFont="1" applyFill="1" applyBorder="1" applyAlignment="1">
      <alignment vertical="top" wrapText="1"/>
    </xf>
    <xf numFmtId="187" fontId="23" fillId="0" borderId="37" xfId="50" applyFont="1" applyFill="1" applyBorder="1" applyAlignment="1">
      <alignment vertical="top"/>
    </xf>
    <xf numFmtId="187" fontId="23" fillId="0" borderId="11" xfId="50" applyFont="1" applyFill="1" applyBorder="1" applyAlignment="1">
      <alignment vertical="top"/>
    </xf>
    <xf numFmtId="187" fontId="23" fillId="0" borderId="41" xfId="50" applyFont="1" applyFill="1" applyBorder="1" applyAlignment="1">
      <alignment vertical="top"/>
    </xf>
    <xf numFmtId="187" fontId="23" fillId="0" borderId="40" xfId="50" applyFont="1" applyFill="1" applyBorder="1" applyAlignment="1">
      <alignment vertical="top"/>
    </xf>
    <xf numFmtId="187" fontId="23" fillId="0" borderId="0" xfId="50" applyFont="1" applyFill="1" applyAlignment="1">
      <alignment vertical="top"/>
    </xf>
    <xf numFmtId="0" fontId="19" fillId="0" borderId="38" xfId="0" applyFont="1" applyFill="1" applyBorder="1" applyAlignment="1">
      <alignment vertical="top"/>
    </xf>
    <xf numFmtId="0" fontId="19" fillId="0" borderId="42" xfId="0" applyFont="1" applyFill="1" applyBorder="1" applyAlignment="1">
      <alignment vertical="top" wrapText="1"/>
    </xf>
    <xf numFmtId="187" fontId="19" fillId="0" borderId="37" xfId="50" applyFont="1" applyFill="1" applyBorder="1" applyAlignment="1">
      <alignment vertical="top"/>
    </xf>
    <xf numFmtId="187" fontId="19" fillId="0" borderId="11" xfId="50" applyFont="1" applyFill="1" applyBorder="1" applyAlignment="1">
      <alignment vertical="top"/>
    </xf>
    <xf numFmtId="187" fontId="19" fillId="0" borderId="41" xfId="50" applyFont="1" applyFill="1" applyBorder="1" applyAlignment="1">
      <alignment vertical="top"/>
    </xf>
    <xf numFmtId="187" fontId="19" fillId="0" borderId="40" xfId="50" applyFont="1" applyFill="1" applyBorder="1" applyAlignment="1">
      <alignment vertical="top"/>
    </xf>
    <xf numFmtId="0" fontId="18" fillId="0" borderId="37" xfId="0" applyFont="1" applyFill="1" applyBorder="1" applyAlignment="1">
      <alignment horizontal="left" vertical="top" indent="1"/>
    </xf>
    <xf numFmtId="0" fontId="18" fillId="0" borderId="42" xfId="0" applyFont="1" applyFill="1" applyBorder="1" applyAlignment="1">
      <alignment vertical="top" wrapText="1"/>
    </xf>
    <xf numFmtId="187" fontId="18" fillId="0" borderId="37" xfId="50" applyFont="1" applyFill="1" applyBorder="1" applyAlignment="1">
      <alignment vertical="top"/>
    </xf>
    <xf numFmtId="187" fontId="18" fillId="0" borderId="11" xfId="50" applyFont="1" applyFill="1" applyBorder="1" applyAlignment="1">
      <alignment vertical="top"/>
    </xf>
    <xf numFmtId="187" fontId="18" fillId="0" borderId="41" xfId="50" applyFont="1" applyFill="1" applyBorder="1" applyAlignment="1">
      <alignment vertical="top"/>
    </xf>
    <xf numFmtId="0" fontId="18" fillId="0" borderId="40" xfId="50" applyNumberFormat="1" applyFont="1" applyFill="1" applyBorder="1" applyAlignment="1">
      <alignment vertical="top"/>
    </xf>
    <xf numFmtId="187" fontId="18" fillId="0" borderId="40" xfId="50" applyFont="1" applyFill="1" applyBorder="1" applyAlignment="1">
      <alignment vertical="top"/>
    </xf>
    <xf numFmtId="0" fontId="19" fillId="0" borderId="37" xfId="0" applyFont="1" applyFill="1" applyBorder="1"/>
    <xf numFmtId="0" fontId="18" fillId="0" borderId="37" xfId="0" applyFont="1" applyFill="1" applyBorder="1" applyAlignment="1">
      <alignment horizontal="left" indent="1"/>
    </xf>
    <xf numFmtId="0" fontId="18" fillId="0" borderId="38" xfId="0" applyFont="1" applyFill="1" applyBorder="1" applyAlignment="1">
      <alignment vertical="top"/>
    </xf>
    <xf numFmtId="0" fontId="23" fillId="0" borderId="43" xfId="0" applyFont="1" applyFill="1" applyBorder="1" applyAlignment="1">
      <alignment vertical="top"/>
    </xf>
    <xf numFmtId="187" fontId="23" fillId="0" borderId="44" xfId="50" applyFont="1" applyFill="1" applyBorder="1" applyAlignment="1">
      <alignment vertical="top"/>
    </xf>
    <xf numFmtId="187" fontId="18" fillId="0" borderId="43" xfId="50" applyFont="1" applyFill="1" applyBorder="1" applyAlignment="1">
      <alignment vertical="top"/>
    </xf>
    <xf numFmtId="187" fontId="19" fillId="0" borderId="45" xfId="50" applyFont="1" applyFill="1" applyBorder="1" applyAlignment="1">
      <alignment vertical="top"/>
    </xf>
    <xf numFmtId="187" fontId="19" fillId="0" borderId="46" xfId="50" applyFont="1" applyFill="1" applyBorder="1" applyAlignment="1">
      <alignment vertical="top"/>
    </xf>
    <xf numFmtId="187" fontId="19" fillId="0" borderId="47" xfId="50" applyFont="1" applyFill="1" applyBorder="1" applyAlignment="1">
      <alignment vertical="top"/>
    </xf>
    <xf numFmtId="187" fontId="19" fillId="0" borderId="48" xfId="50" applyFont="1" applyFill="1" applyBorder="1" applyAlignment="1">
      <alignment vertical="top"/>
    </xf>
    <xf numFmtId="187" fontId="19" fillId="0" borderId="49" xfId="50" applyFont="1" applyFill="1" applyBorder="1" applyAlignment="1">
      <alignment vertical="top"/>
    </xf>
    <xf numFmtId="0" fontId="18" fillId="0" borderId="50" xfId="0" applyFont="1" applyFill="1" applyBorder="1"/>
    <xf numFmtId="0" fontId="18" fillId="0" borderId="43" xfId="0" applyFont="1" applyFill="1" applyBorder="1"/>
    <xf numFmtId="0" fontId="18" fillId="0" borderId="11" xfId="50" applyNumberFormat="1" applyFont="1" applyFill="1" applyBorder="1" applyAlignment="1">
      <alignment vertical="top"/>
    </xf>
    <xf numFmtId="0" fontId="18" fillId="0" borderId="41" xfId="50" applyNumberFormat="1" applyFont="1" applyFill="1" applyBorder="1" applyAlignment="1">
      <alignment vertical="top"/>
    </xf>
    <xf numFmtId="187" fontId="20" fillId="0" borderId="0" xfId="50" applyFont="1" applyFill="1"/>
    <xf numFmtId="187" fontId="20" fillId="0" borderId="0" xfId="5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20" fillId="0" borderId="11" xfId="0" applyFont="1" applyFill="1" applyBorder="1" applyAlignment="1">
      <alignment horizontal="center" vertical="top"/>
    </xf>
    <xf numFmtId="0" fontId="18" fillId="0" borderId="27" xfId="0" applyFont="1" applyFill="1" applyBorder="1" applyAlignment="1">
      <alignment horizontal="center" vertical="top"/>
    </xf>
    <xf numFmtId="0" fontId="18" fillId="0" borderId="51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vertical="top"/>
    </xf>
    <xf numFmtId="0" fontId="36" fillId="0" borderId="14" xfId="0" applyFont="1" applyFill="1" applyBorder="1" applyAlignment="1">
      <alignment vertical="top" wrapText="1"/>
    </xf>
    <xf numFmtId="188" fontId="18" fillId="0" borderId="52" xfId="50" applyNumberFormat="1" applyFont="1" applyFill="1" applyBorder="1" applyAlignment="1">
      <alignment vertical="top"/>
    </xf>
    <xf numFmtId="0" fontId="18" fillId="0" borderId="0" xfId="0" applyFont="1" applyFill="1" applyBorder="1"/>
    <xf numFmtId="0" fontId="20" fillId="0" borderId="53" xfId="0" applyFont="1" applyFill="1" applyBorder="1" applyAlignment="1">
      <alignment horizontal="center" vertical="top"/>
    </xf>
    <xf numFmtId="0" fontId="21" fillId="0" borderId="0" xfId="0" applyFont="1" applyFill="1" applyAlignment="1">
      <alignment vertical="top"/>
    </xf>
    <xf numFmtId="187" fontId="18" fillId="0" borderId="24" xfId="50" applyFont="1" applyFill="1" applyBorder="1" applyAlignment="1">
      <alignment vertical="top" wrapText="1"/>
    </xf>
    <xf numFmtId="187" fontId="18" fillId="0" borderId="26" xfId="50" applyFont="1" applyFill="1" applyBorder="1" applyAlignment="1">
      <alignment vertical="top" wrapText="1"/>
    </xf>
    <xf numFmtId="0" fontId="18" fillId="0" borderId="12" xfId="0" applyFont="1" applyFill="1" applyBorder="1" applyAlignment="1">
      <alignment horizontal="center"/>
    </xf>
    <xf numFmtId="0" fontId="18" fillId="0" borderId="54" xfId="0" applyFont="1" applyFill="1" applyBorder="1" applyAlignment="1">
      <alignment vertical="top" wrapText="1"/>
    </xf>
    <xf numFmtId="0" fontId="18" fillId="0" borderId="14" xfId="0" applyFont="1" applyFill="1" applyBorder="1" applyAlignment="1">
      <alignment vertical="top"/>
    </xf>
    <xf numFmtId="187" fontId="18" fillId="0" borderId="54" xfId="50" applyFont="1" applyFill="1" applyBorder="1" applyAlignment="1">
      <alignment vertical="top" wrapText="1"/>
    </xf>
    <xf numFmtId="187" fontId="18" fillId="0" borderId="14" xfId="50" applyFont="1" applyFill="1" applyBorder="1" applyAlignment="1">
      <alignment vertical="top" wrapText="1"/>
    </xf>
    <xf numFmtId="188" fontId="18" fillId="0" borderId="28" xfId="50" applyNumberFormat="1" applyFont="1" applyFill="1" applyBorder="1" applyAlignment="1">
      <alignment vertical="top"/>
    </xf>
    <xf numFmtId="187" fontId="18" fillId="0" borderId="55" xfId="50" applyFont="1" applyFill="1" applyBorder="1" applyAlignment="1">
      <alignment vertical="top" wrapText="1"/>
    </xf>
    <xf numFmtId="187" fontId="18" fillId="0" borderId="19" xfId="5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/>
    </xf>
    <xf numFmtId="188" fontId="18" fillId="0" borderId="0" xfId="50" applyNumberFormat="1" applyFont="1" applyFill="1" applyBorder="1" applyAlignment="1">
      <alignment vertical="top"/>
    </xf>
    <xf numFmtId="187" fontId="18" fillId="0" borderId="0" xfId="5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187" fontId="37" fillId="0" borderId="0" xfId="50" applyFont="1" applyFill="1"/>
    <xf numFmtId="187" fontId="38" fillId="0" borderId="0" xfId="50" applyFont="1" applyFill="1"/>
    <xf numFmtId="187" fontId="36" fillId="0" borderId="0" xfId="50" applyFont="1" applyFill="1"/>
    <xf numFmtId="187" fontId="39" fillId="0" borderId="0" xfId="50" applyFont="1" applyFill="1" applyBorder="1" applyAlignment="1"/>
    <xf numFmtId="187" fontId="39" fillId="0" borderId="38" xfId="50" applyFont="1" applyFill="1" applyBorder="1" applyAlignment="1">
      <alignment horizontal="center" vertical="center" wrapText="1"/>
    </xf>
    <xf numFmtId="187" fontId="39" fillId="0" borderId="37" xfId="50" applyFont="1" applyFill="1" applyBorder="1" applyAlignment="1">
      <alignment horizontal="center" vertical="center" wrapText="1"/>
    </xf>
    <xf numFmtId="187" fontId="36" fillId="0" borderId="0" xfId="50" applyFont="1" applyFill="1" applyAlignment="1">
      <alignment vertical="top"/>
    </xf>
    <xf numFmtId="187" fontId="36" fillId="0" borderId="9" xfId="50" applyFont="1" applyFill="1" applyBorder="1" applyAlignment="1">
      <alignment vertical="top"/>
    </xf>
    <xf numFmtId="187" fontId="39" fillId="0" borderId="54" xfId="50" applyFont="1" applyFill="1" applyBorder="1" applyAlignment="1">
      <alignment vertical="top"/>
    </xf>
    <xf numFmtId="187" fontId="36" fillId="0" borderId="12" xfId="50" applyFont="1" applyFill="1" applyBorder="1" applyAlignment="1">
      <alignment vertical="top"/>
    </xf>
    <xf numFmtId="187" fontId="36" fillId="0" borderId="13" xfId="50" applyFont="1" applyFill="1" applyBorder="1" applyAlignment="1">
      <alignment vertical="top"/>
    </xf>
    <xf numFmtId="187" fontId="36" fillId="0" borderId="14" xfId="50" applyFont="1" applyFill="1" applyBorder="1" applyAlignment="1">
      <alignment vertical="top"/>
    </xf>
    <xf numFmtId="187" fontId="36" fillId="0" borderId="0" xfId="50" applyFont="1" applyFill="1" applyBorder="1" applyAlignment="1">
      <alignment vertical="top"/>
    </xf>
    <xf numFmtId="187" fontId="36" fillId="0" borderId="56" xfId="50" applyFont="1" applyFill="1" applyBorder="1" applyAlignment="1">
      <alignment vertical="top"/>
    </xf>
    <xf numFmtId="187" fontId="36" fillId="0" borderId="57" xfId="50" applyFont="1" applyFill="1" applyBorder="1" applyAlignment="1">
      <alignment vertical="top"/>
    </xf>
    <xf numFmtId="187" fontId="39" fillId="0" borderId="57" xfId="50" applyFont="1" applyFill="1" applyBorder="1" applyAlignment="1">
      <alignment vertical="top"/>
    </xf>
    <xf numFmtId="188" fontId="36" fillId="0" borderId="57" xfId="50" applyNumberFormat="1" applyFont="1" applyFill="1" applyBorder="1" applyAlignment="1">
      <alignment vertical="top"/>
    </xf>
    <xf numFmtId="187" fontId="39" fillId="0" borderId="0" xfId="50" applyFont="1" applyFill="1" applyBorder="1" applyAlignment="1">
      <alignment vertical="top"/>
    </xf>
    <xf numFmtId="187" fontId="36" fillId="0" borderId="36" xfId="50" applyFont="1" applyFill="1" applyBorder="1" applyAlignment="1">
      <alignment vertical="top"/>
    </xf>
    <xf numFmtId="187" fontId="36" fillId="0" borderId="51" xfId="50" applyFont="1" applyFill="1" applyBorder="1" applyAlignment="1">
      <alignment vertical="top"/>
    </xf>
    <xf numFmtId="187" fontId="36" fillId="0" borderId="58" xfId="50" applyFont="1" applyFill="1" applyBorder="1" applyAlignment="1">
      <alignment vertical="top"/>
    </xf>
    <xf numFmtId="187" fontId="39" fillId="0" borderId="59" xfId="50" applyFont="1" applyFill="1" applyBorder="1"/>
    <xf numFmtId="187" fontId="39" fillId="0" borderId="60" xfId="50" applyFont="1" applyFill="1" applyBorder="1"/>
    <xf numFmtId="188" fontId="39" fillId="0" borderId="32" xfId="50" applyNumberFormat="1" applyFont="1" applyFill="1" applyBorder="1" applyAlignment="1">
      <alignment vertical="top"/>
    </xf>
    <xf numFmtId="187" fontId="39" fillId="0" borderId="32" xfId="50" applyFont="1" applyFill="1" applyBorder="1" applyAlignment="1">
      <alignment horizontal="center" vertical="top"/>
    </xf>
    <xf numFmtId="187" fontId="39" fillId="0" borderId="61" xfId="50" applyFont="1" applyFill="1" applyBorder="1" applyAlignment="1">
      <alignment vertical="top"/>
    </xf>
    <xf numFmtId="187" fontId="39" fillId="0" borderId="62" xfId="50" applyFont="1" applyFill="1" applyBorder="1" applyAlignment="1">
      <alignment vertical="top"/>
    </xf>
    <xf numFmtId="187" fontId="39" fillId="0" borderId="32" xfId="50" applyFont="1" applyFill="1" applyBorder="1" applyAlignment="1">
      <alignment vertical="top"/>
    </xf>
    <xf numFmtId="187" fontId="39" fillId="0" borderId="0" xfId="50" applyFont="1" applyFill="1"/>
    <xf numFmtId="0" fontId="19" fillId="0" borderId="53" xfId="0" applyFont="1" applyFill="1" applyBorder="1" applyAlignment="1">
      <alignment horizontal="center" vertical="top"/>
    </xf>
    <xf numFmtId="0" fontId="39" fillId="0" borderId="0" xfId="0" applyFont="1" applyFill="1" applyAlignment="1">
      <alignment vertical="top"/>
    </xf>
    <xf numFmtId="0" fontId="36" fillId="0" borderId="0" xfId="0" applyFont="1" applyFill="1" applyAlignment="1">
      <alignment vertical="top"/>
    </xf>
    <xf numFmtId="0" fontId="36" fillId="0" borderId="12" xfId="0" applyFont="1" applyFill="1" applyBorder="1" applyAlignment="1">
      <alignment vertical="top"/>
    </xf>
    <xf numFmtId="0" fontId="36" fillId="0" borderId="54" xfId="0" applyFont="1" applyFill="1" applyBorder="1" applyAlignment="1">
      <alignment vertical="top" wrapText="1"/>
    </xf>
    <xf numFmtId="0" fontId="18" fillId="0" borderId="55" xfId="0" applyFont="1" applyFill="1" applyBorder="1" applyAlignment="1">
      <alignment vertical="top" wrapText="1"/>
    </xf>
    <xf numFmtId="0" fontId="18" fillId="0" borderId="23" xfId="0" applyFont="1" applyFill="1" applyBorder="1" applyAlignment="1">
      <alignment vertical="top"/>
    </xf>
    <xf numFmtId="0" fontId="18" fillId="0" borderId="26" xfId="36" applyFont="1" applyFill="1" applyBorder="1" applyAlignment="1">
      <alignment vertical="center"/>
    </xf>
    <xf numFmtId="0" fontId="36" fillId="0" borderId="8" xfId="0" applyFont="1" applyFill="1" applyBorder="1" applyAlignment="1">
      <alignment vertical="top"/>
    </xf>
    <xf numFmtId="0" fontId="36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19" fillId="0" borderId="26" xfId="0" applyFont="1" applyFill="1" applyBorder="1" applyAlignment="1">
      <alignment vertical="top"/>
    </xf>
    <xf numFmtId="0" fontId="18" fillId="0" borderId="19" xfId="36" applyFont="1" applyBorder="1" applyAlignment="1">
      <alignment vertical="center"/>
    </xf>
    <xf numFmtId="0" fontId="37" fillId="0" borderId="0" xfId="0" applyFont="1" applyFill="1" applyBorder="1"/>
    <xf numFmtId="0" fontId="38" fillId="0" borderId="0" xfId="0" applyFont="1" applyFill="1" applyBorder="1"/>
    <xf numFmtId="188" fontId="37" fillId="0" borderId="0" xfId="0" applyNumberFormat="1" applyFont="1" applyFill="1" applyBorder="1"/>
    <xf numFmtId="0" fontId="37" fillId="0" borderId="0" xfId="0" applyFont="1" applyFill="1" applyBorder="1" applyAlignment="1">
      <alignment horizontal="center"/>
    </xf>
    <xf numFmtId="187" fontId="37" fillId="0" borderId="0" xfId="50" applyFont="1" applyFill="1" applyBorder="1" applyAlignment="1">
      <alignment horizontal="center"/>
    </xf>
    <xf numFmtId="0" fontId="39" fillId="0" borderId="0" xfId="0" applyFont="1" applyFill="1" applyBorder="1" applyAlignment="1"/>
    <xf numFmtId="0" fontId="36" fillId="0" borderId="0" xfId="0" applyFont="1" applyFill="1" applyBorder="1"/>
    <xf numFmtId="0" fontId="39" fillId="0" borderId="27" xfId="0" applyFont="1" applyFill="1" applyBorder="1" applyAlignment="1">
      <alignment horizontal="center" vertical="center" wrapText="1"/>
    </xf>
    <xf numFmtId="188" fontId="39" fillId="0" borderId="27" xfId="0" applyNumberFormat="1" applyFont="1" applyFill="1" applyBorder="1" applyAlignment="1">
      <alignment horizontal="center" vertical="center" shrinkToFit="1"/>
    </xf>
    <xf numFmtId="187" fontId="39" fillId="0" borderId="39" xfId="50" applyFont="1" applyFill="1" applyBorder="1" applyAlignment="1">
      <alignment horizontal="center" vertical="center" wrapText="1"/>
    </xf>
    <xf numFmtId="0" fontId="39" fillId="0" borderId="63" xfId="0" applyFont="1" applyFill="1" applyBorder="1" applyAlignment="1">
      <alignment horizontal="center" vertical="center" wrapText="1"/>
    </xf>
    <xf numFmtId="0" fontId="39" fillId="0" borderId="39" xfId="0" applyFont="1" applyFill="1" applyBorder="1" applyAlignment="1">
      <alignment horizontal="center" vertical="center" wrapText="1"/>
    </xf>
    <xf numFmtId="187" fontId="39" fillId="0" borderId="20" xfId="50" applyFont="1" applyFill="1" applyBorder="1" applyAlignment="1">
      <alignment vertical="top"/>
    </xf>
    <xf numFmtId="187" fontId="39" fillId="0" borderId="6" xfId="50" applyFont="1" applyFill="1" applyBorder="1" applyAlignment="1">
      <alignment vertical="top"/>
    </xf>
    <xf numFmtId="188" fontId="39" fillId="0" borderId="6" xfId="50" applyNumberFormat="1" applyFont="1" applyFill="1" applyBorder="1" applyAlignment="1">
      <alignment vertical="top"/>
    </xf>
    <xf numFmtId="187" fontId="39" fillId="0" borderId="6" xfId="50" applyFont="1" applyFill="1" applyBorder="1" applyAlignment="1">
      <alignment horizontal="center" vertical="top"/>
    </xf>
    <xf numFmtId="187" fontId="39" fillId="0" borderId="7" xfId="50" applyFont="1" applyFill="1" applyBorder="1" applyAlignment="1">
      <alignment vertical="top"/>
    </xf>
    <xf numFmtId="187" fontId="39" fillId="0" borderId="20" xfId="50" applyNumberFormat="1" applyFont="1" applyFill="1" applyBorder="1" applyAlignment="1">
      <alignment vertical="top"/>
    </xf>
    <xf numFmtId="187" fontId="39" fillId="0" borderId="6" xfId="50" applyNumberFormat="1" applyFont="1" applyFill="1" applyBorder="1" applyAlignment="1">
      <alignment vertical="top"/>
    </xf>
    <xf numFmtId="187" fontId="39" fillId="0" borderId="7" xfId="50" applyNumberFormat="1" applyFont="1" applyFill="1" applyBorder="1" applyAlignment="1">
      <alignment vertical="top"/>
    </xf>
    <xf numFmtId="191" fontId="36" fillId="0" borderId="10" xfId="50" applyNumberFormat="1" applyFont="1" applyFill="1" applyBorder="1" applyAlignment="1">
      <alignment vertical="top" shrinkToFit="1"/>
    </xf>
    <xf numFmtId="0" fontId="36" fillId="0" borderId="12" xfId="0" applyFont="1" applyFill="1" applyBorder="1" applyAlignment="1">
      <alignment vertical="top" wrapText="1"/>
    </xf>
    <xf numFmtId="187" fontId="39" fillId="0" borderId="13" xfId="50" applyFont="1" applyFill="1" applyBorder="1" applyAlignment="1">
      <alignment vertical="top"/>
    </xf>
    <xf numFmtId="188" fontId="36" fillId="0" borderId="13" xfId="50" applyNumberFormat="1" applyFont="1" applyFill="1" applyBorder="1" applyAlignment="1">
      <alignment vertical="top"/>
    </xf>
    <xf numFmtId="187" fontId="36" fillId="0" borderId="13" xfId="50" applyFont="1" applyFill="1" applyBorder="1" applyAlignment="1">
      <alignment horizontal="center" vertical="top"/>
    </xf>
    <xf numFmtId="187" fontId="39" fillId="0" borderId="14" xfId="50" applyFont="1" applyFill="1" applyBorder="1" applyAlignment="1">
      <alignment vertical="top"/>
    </xf>
    <xf numFmtId="191" fontId="36" fillId="0" borderId="15" xfId="50" applyNumberFormat="1" applyFont="1" applyFill="1" applyBorder="1" applyAlignment="1">
      <alignment vertical="top" shrinkToFit="1"/>
    </xf>
    <xf numFmtId="191" fontId="36" fillId="0" borderId="13" xfId="50" applyNumberFormat="1" applyFont="1" applyFill="1" applyBorder="1" applyAlignment="1">
      <alignment vertical="top" shrinkToFit="1"/>
    </xf>
    <xf numFmtId="191" fontId="36" fillId="0" borderId="14" xfId="50" applyNumberFormat="1" applyFont="1" applyFill="1" applyBorder="1" applyAlignment="1">
      <alignment vertical="top" shrinkToFit="1"/>
    </xf>
    <xf numFmtId="187" fontId="36" fillId="0" borderId="18" xfId="50" applyFont="1" applyFill="1" applyBorder="1" applyAlignment="1">
      <alignment vertical="top"/>
    </xf>
    <xf numFmtId="187" fontId="39" fillId="0" borderId="18" xfId="50" applyFont="1" applyFill="1" applyBorder="1" applyAlignment="1">
      <alignment vertical="top"/>
    </xf>
    <xf numFmtId="187" fontId="39" fillId="0" borderId="19" xfId="50" applyFont="1" applyFill="1" applyBorder="1" applyAlignment="1">
      <alignment vertical="top"/>
    </xf>
    <xf numFmtId="191" fontId="36" fillId="0" borderId="17" xfId="50" applyNumberFormat="1" applyFont="1" applyFill="1" applyBorder="1" applyAlignment="1">
      <alignment vertical="top" shrinkToFit="1"/>
    </xf>
    <xf numFmtId="191" fontId="36" fillId="0" borderId="18" xfId="50" applyNumberFormat="1" applyFont="1" applyFill="1" applyBorder="1" applyAlignment="1">
      <alignment vertical="top" shrinkToFit="1"/>
    </xf>
    <xf numFmtId="191" fontId="36" fillId="0" borderId="19" xfId="50" applyNumberFormat="1" applyFont="1" applyFill="1" applyBorder="1" applyAlignment="1">
      <alignment vertical="top" shrinkToFit="1"/>
    </xf>
    <xf numFmtId="0" fontId="39" fillId="0" borderId="4" xfId="0" applyFont="1" applyFill="1" applyBorder="1" applyAlignment="1">
      <alignment vertical="top"/>
    </xf>
    <xf numFmtId="0" fontId="39" fillId="0" borderId="5" xfId="0" applyFont="1" applyFill="1" applyBorder="1" applyAlignment="1">
      <alignment vertical="top" wrapText="1"/>
    </xf>
    <xf numFmtId="191" fontId="39" fillId="0" borderId="20" xfId="50" applyNumberFormat="1" applyFont="1" applyFill="1" applyBorder="1" applyAlignment="1">
      <alignment vertical="top" shrinkToFit="1"/>
    </xf>
    <xf numFmtId="191" fontId="39" fillId="0" borderId="6" xfId="50" applyNumberFormat="1" applyFont="1" applyFill="1" applyBorder="1" applyAlignment="1">
      <alignment vertical="top" shrinkToFit="1"/>
    </xf>
    <xf numFmtId="191" fontId="39" fillId="0" borderId="7" xfId="50" applyNumberFormat="1" applyFont="1" applyFill="1" applyBorder="1" applyAlignment="1">
      <alignment vertical="top" shrinkToFit="1"/>
    </xf>
    <xf numFmtId="0" fontId="39" fillId="0" borderId="23" xfId="0" applyFont="1" applyFill="1" applyBorder="1" applyAlignment="1">
      <alignment vertical="top"/>
    </xf>
    <xf numFmtId="187" fontId="39" fillId="0" borderId="24" xfId="50" applyFont="1" applyFill="1" applyBorder="1" applyAlignment="1">
      <alignment vertical="top"/>
    </xf>
    <xf numFmtId="187" fontId="39" fillId="0" borderId="25" xfId="50" applyFont="1" applyFill="1" applyBorder="1" applyAlignment="1">
      <alignment vertical="top"/>
    </xf>
    <xf numFmtId="188" fontId="39" fillId="0" borderId="25" xfId="50" applyNumberFormat="1" applyFont="1" applyFill="1" applyBorder="1" applyAlignment="1">
      <alignment vertical="top"/>
    </xf>
    <xf numFmtId="187" fontId="39" fillId="0" borderId="25" xfId="50" applyFont="1" applyFill="1" applyBorder="1" applyAlignment="1">
      <alignment horizontal="center" vertical="top"/>
    </xf>
    <xf numFmtId="187" fontId="39" fillId="0" borderId="26" xfId="50" applyFont="1" applyFill="1" applyBorder="1" applyAlignment="1">
      <alignment vertical="top"/>
    </xf>
    <xf numFmtId="187" fontId="39" fillId="0" borderId="64" xfId="50" applyNumberFormat="1" applyFont="1" applyFill="1" applyBorder="1" applyAlignment="1">
      <alignment vertical="top"/>
    </xf>
    <xf numFmtId="187" fontId="39" fillId="0" borderId="25" xfId="50" applyNumberFormat="1" applyFont="1" applyFill="1" applyBorder="1" applyAlignment="1">
      <alignment vertical="top"/>
    </xf>
    <xf numFmtId="187" fontId="39" fillId="0" borderId="26" xfId="50" applyNumberFormat="1" applyFont="1" applyFill="1" applyBorder="1" applyAlignment="1">
      <alignment vertical="top"/>
    </xf>
    <xf numFmtId="0" fontId="36" fillId="0" borderId="28" xfId="0" applyFont="1" applyFill="1" applyBorder="1" applyAlignment="1">
      <alignment vertical="top"/>
    </xf>
    <xf numFmtId="188" fontId="36" fillId="0" borderId="18" xfId="50" applyNumberFormat="1" applyFont="1" applyFill="1" applyBorder="1" applyAlignment="1">
      <alignment vertical="top"/>
    </xf>
    <xf numFmtId="187" fontId="36" fillId="0" borderId="18" xfId="50" applyFont="1" applyFill="1" applyBorder="1" applyAlignment="1">
      <alignment horizontal="center" vertical="top"/>
    </xf>
    <xf numFmtId="187" fontId="39" fillId="0" borderId="5" xfId="50" applyFont="1" applyFill="1" applyBorder="1" applyAlignment="1">
      <alignment vertical="top"/>
    </xf>
    <xf numFmtId="0" fontId="18" fillId="0" borderId="65" xfId="0" applyFont="1" applyFill="1" applyBorder="1" applyAlignment="1">
      <alignment vertical="top" wrapText="1"/>
    </xf>
    <xf numFmtId="187" fontId="39" fillId="0" borderId="9" xfId="50" applyFont="1" applyFill="1" applyBorder="1" applyAlignment="1">
      <alignment vertical="top"/>
    </xf>
    <xf numFmtId="188" fontId="36" fillId="0" borderId="9" xfId="50" applyNumberFormat="1" applyFont="1" applyFill="1" applyBorder="1" applyAlignment="1">
      <alignment vertical="top"/>
    </xf>
    <xf numFmtId="187" fontId="36" fillId="0" borderId="9" xfId="50" applyFont="1" applyFill="1" applyBorder="1" applyAlignment="1">
      <alignment horizontal="center" vertical="top"/>
    </xf>
    <xf numFmtId="187" fontId="39" fillId="0" borderId="10" xfId="50" applyFont="1" applyFill="1" applyBorder="1" applyAlignment="1">
      <alignment vertical="top"/>
    </xf>
    <xf numFmtId="191" fontId="36" fillId="0" borderId="66" xfId="50" applyNumberFormat="1" applyFont="1" applyFill="1" applyBorder="1" applyAlignment="1">
      <alignment vertical="top" shrinkToFit="1"/>
    </xf>
    <xf numFmtId="191" fontId="36" fillId="0" borderId="9" xfId="50" applyNumberFormat="1" applyFont="1" applyFill="1" applyBorder="1" applyAlignment="1">
      <alignment vertical="top" shrinkToFit="1"/>
    </xf>
    <xf numFmtId="0" fontId="36" fillId="0" borderId="65" xfId="0" applyFont="1" applyFill="1" applyBorder="1" applyAlignment="1">
      <alignment vertical="center" wrapText="1"/>
    </xf>
    <xf numFmtId="187" fontId="36" fillId="0" borderId="54" xfId="1" applyFont="1" applyFill="1" applyBorder="1"/>
    <xf numFmtId="0" fontId="36" fillId="0" borderId="65" xfId="0" applyFont="1" applyFill="1" applyBorder="1" applyAlignment="1">
      <alignment vertical="top" wrapText="1"/>
    </xf>
    <xf numFmtId="0" fontId="36" fillId="0" borderId="33" xfId="0" applyFont="1" applyFill="1" applyBorder="1" applyAlignment="1">
      <alignment vertical="top"/>
    </xf>
    <xf numFmtId="0" fontId="36" fillId="0" borderId="67" xfId="0" applyFont="1" applyFill="1" applyBorder="1" applyAlignment="1">
      <alignment vertical="top" wrapText="1"/>
    </xf>
    <xf numFmtId="187" fontId="36" fillId="0" borderId="35" xfId="50" applyFont="1" applyFill="1" applyBorder="1" applyAlignment="1">
      <alignment vertical="top"/>
    </xf>
    <xf numFmtId="187" fontId="39" fillId="0" borderId="35" xfId="50" applyFont="1" applyFill="1" applyBorder="1" applyAlignment="1">
      <alignment vertical="top"/>
    </xf>
    <xf numFmtId="188" fontId="36" fillId="0" borderId="35" xfId="50" applyNumberFormat="1" applyFont="1" applyFill="1" applyBorder="1" applyAlignment="1">
      <alignment vertical="top"/>
    </xf>
    <xf numFmtId="187" fontId="39" fillId="0" borderId="34" xfId="50" applyFont="1" applyFill="1" applyBorder="1" applyAlignment="1">
      <alignment vertical="top"/>
    </xf>
    <xf numFmtId="191" fontId="36" fillId="0" borderId="68" xfId="50" applyNumberFormat="1" applyFont="1" applyFill="1" applyBorder="1" applyAlignment="1">
      <alignment vertical="top" shrinkToFit="1"/>
    </xf>
    <xf numFmtId="191" fontId="36" fillId="0" borderId="35" xfId="50" applyNumberFormat="1" applyFont="1" applyFill="1" applyBorder="1" applyAlignment="1">
      <alignment vertical="top" shrinkToFit="1"/>
    </xf>
    <xf numFmtId="191" fontId="36" fillId="0" borderId="34" xfId="50" applyNumberFormat="1" applyFont="1" applyFill="1" applyBorder="1" applyAlignment="1">
      <alignment vertical="top" shrinkToFit="1"/>
    </xf>
    <xf numFmtId="0" fontId="39" fillId="0" borderId="47" xfId="0" applyFont="1" applyFill="1" applyBorder="1" applyAlignment="1">
      <alignment vertical="top"/>
    </xf>
    <xf numFmtId="187" fontId="39" fillId="0" borderId="48" xfId="50" applyFont="1" applyFill="1" applyBorder="1" applyAlignment="1">
      <alignment vertical="top"/>
    </xf>
    <xf numFmtId="188" fontId="39" fillId="0" borderId="48" xfId="50" applyNumberFormat="1" applyFont="1" applyFill="1" applyBorder="1" applyAlignment="1">
      <alignment vertical="top"/>
    </xf>
    <xf numFmtId="187" fontId="39" fillId="0" borderId="48" xfId="50" applyFont="1" applyFill="1" applyBorder="1" applyAlignment="1">
      <alignment horizontal="center" vertical="top"/>
    </xf>
    <xf numFmtId="187" fontId="39" fillId="0" borderId="49" xfId="50" applyFont="1" applyFill="1" applyBorder="1" applyAlignment="1">
      <alignment vertical="top"/>
    </xf>
    <xf numFmtId="187" fontId="39" fillId="0" borderId="47" xfId="50" applyNumberFormat="1" applyFont="1" applyFill="1" applyBorder="1" applyAlignment="1">
      <alignment vertical="top"/>
    </xf>
    <xf numFmtId="187" fontId="39" fillId="0" borderId="48" xfId="50" applyNumberFormat="1" applyFont="1" applyFill="1" applyBorder="1" applyAlignment="1">
      <alignment vertical="top"/>
    </xf>
    <xf numFmtId="187" fontId="39" fillId="0" borderId="49" xfId="50" applyNumberFormat="1" applyFont="1" applyFill="1" applyBorder="1" applyAlignment="1">
      <alignment vertical="top"/>
    </xf>
    <xf numFmtId="0" fontId="39" fillId="0" borderId="0" xfId="0" applyFont="1" applyFill="1" applyBorder="1"/>
    <xf numFmtId="187" fontId="36" fillId="0" borderId="0" xfId="50" applyFont="1" applyFill="1" applyBorder="1"/>
    <xf numFmtId="0" fontId="36" fillId="0" borderId="0" xfId="0" applyFont="1" applyFill="1" applyBorder="1" applyAlignment="1">
      <alignment horizontal="center"/>
    </xf>
    <xf numFmtId="187" fontId="36" fillId="0" borderId="0" xfId="0" applyNumberFormat="1" applyFont="1" applyFill="1" applyBorder="1"/>
    <xf numFmtId="188" fontId="36" fillId="0" borderId="0" xfId="0" applyNumberFormat="1" applyFont="1" applyFill="1" applyBorder="1"/>
    <xf numFmtId="187" fontId="36" fillId="0" borderId="0" xfId="50" applyFont="1" applyFill="1" applyBorder="1" applyAlignment="1">
      <alignment horizontal="center"/>
    </xf>
    <xf numFmtId="187" fontId="40" fillId="0" borderId="0" xfId="50" applyFont="1" applyFill="1" applyBorder="1"/>
    <xf numFmtId="43" fontId="36" fillId="0" borderId="0" xfId="0" applyNumberFormat="1" applyFont="1" applyFill="1" applyBorder="1"/>
    <xf numFmtId="187" fontId="40" fillId="0" borderId="0" xfId="0" applyNumberFormat="1" applyFont="1" applyFill="1" applyBorder="1"/>
    <xf numFmtId="0" fontId="18" fillId="0" borderId="14" xfId="0" applyFont="1" applyFill="1" applyBorder="1" applyAlignment="1">
      <alignment vertical="top" wrapText="1"/>
    </xf>
    <xf numFmtId="0" fontId="18" fillId="0" borderId="36" xfId="0" applyFont="1" applyFill="1" applyBorder="1" applyAlignment="1">
      <alignment vertical="top" wrapText="1"/>
    </xf>
    <xf numFmtId="0" fontId="18" fillId="0" borderId="57" xfId="0" applyFont="1" applyFill="1" applyBorder="1" applyAlignment="1">
      <alignment vertical="top" wrapText="1"/>
    </xf>
    <xf numFmtId="0" fontId="18" fillId="0" borderId="69" xfId="0" applyFont="1" applyFill="1" applyBorder="1" applyAlignment="1">
      <alignment vertical="top" wrapText="1"/>
    </xf>
    <xf numFmtId="0" fontId="18" fillId="0" borderId="70" xfId="0" applyFont="1" applyFill="1" applyBorder="1"/>
    <xf numFmtId="0" fontId="18" fillId="0" borderId="71" xfId="0" applyFont="1" applyFill="1" applyBorder="1"/>
    <xf numFmtId="0" fontId="18" fillId="0" borderId="72" xfId="0" applyFont="1" applyFill="1" applyBorder="1"/>
    <xf numFmtId="188" fontId="36" fillId="0" borderId="13" xfId="50" applyNumberFormat="1" applyFont="1" applyFill="1" applyBorder="1" applyAlignment="1">
      <alignment horizontal="center" vertical="top"/>
    </xf>
    <xf numFmtId="187" fontId="36" fillId="0" borderId="31" xfId="50" applyFont="1" applyFill="1" applyBorder="1" applyAlignment="1">
      <alignment vertical="top"/>
    </xf>
    <xf numFmtId="187" fontId="39" fillId="0" borderId="48" xfId="50" applyFont="1" applyFill="1" applyBorder="1"/>
    <xf numFmtId="187" fontId="36" fillId="0" borderId="0" xfId="50" applyFont="1" applyFill="1" applyAlignment="1">
      <alignment horizontal="center"/>
    </xf>
    <xf numFmtId="0" fontId="18" fillId="0" borderId="24" xfId="0" applyFont="1" applyFill="1" applyBorder="1" applyAlignment="1">
      <alignment vertical="top"/>
    </xf>
    <xf numFmtId="0" fontId="18" fillId="0" borderId="19" xfId="0" applyFont="1" applyFill="1" applyBorder="1" applyAlignment="1">
      <alignment vertical="top" wrapText="1"/>
    </xf>
    <xf numFmtId="188" fontId="19" fillId="0" borderId="23" xfId="50" applyNumberFormat="1" applyFont="1" applyFill="1" applyBorder="1" applyAlignment="1">
      <alignment horizontal="left" vertical="top"/>
    </xf>
    <xf numFmtId="188" fontId="18" fillId="0" borderId="23" xfId="50" applyNumberFormat="1" applyFont="1" applyFill="1" applyBorder="1" applyAlignment="1">
      <alignment vertical="top"/>
    </xf>
    <xf numFmtId="0" fontId="18" fillId="0" borderId="26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4" xfId="35" applyFont="1" applyFill="1" applyBorder="1" applyAlignment="1">
      <alignment vertical="top"/>
    </xf>
    <xf numFmtId="0" fontId="18" fillId="0" borderId="14" xfId="35" applyFont="1" applyFill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30" xfId="0" applyFont="1" applyFill="1" applyBorder="1" applyAlignment="1">
      <alignment vertical="top" wrapText="1"/>
    </xf>
    <xf numFmtId="0" fontId="36" fillId="0" borderId="15" xfId="0" applyFont="1" applyFill="1" applyBorder="1" applyAlignment="1">
      <alignment horizontal="center" wrapText="1"/>
    </xf>
    <xf numFmtId="187" fontId="36" fillId="0" borderId="15" xfId="50" applyNumberFormat="1" applyFont="1" applyFill="1" applyBorder="1" applyAlignment="1">
      <alignment vertical="top"/>
    </xf>
    <xf numFmtId="187" fontId="36" fillId="0" borderId="13" xfId="50" applyNumberFormat="1" applyFont="1" applyFill="1" applyBorder="1" applyAlignment="1">
      <alignment vertical="top"/>
    </xf>
    <xf numFmtId="187" fontId="39" fillId="0" borderId="13" xfId="50" applyNumberFormat="1" applyFont="1" applyFill="1" applyBorder="1" applyAlignment="1">
      <alignment vertical="top"/>
    </xf>
    <xf numFmtId="187" fontId="36" fillId="0" borderId="18" xfId="50" applyNumberFormat="1" applyFont="1" applyFill="1" applyBorder="1" applyAlignment="1">
      <alignment vertical="top"/>
    </xf>
    <xf numFmtId="188" fontId="36" fillId="0" borderId="18" xfId="50" applyNumberFormat="1" applyFont="1" applyFill="1" applyBorder="1" applyAlignment="1">
      <alignment horizontal="center" vertical="top"/>
    </xf>
    <xf numFmtId="188" fontId="36" fillId="0" borderId="11" xfId="50" applyNumberFormat="1" applyFont="1" applyFill="1" applyBorder="1" applyAlignment="1">
      <alignment horizontal="center" vertical="top"/>
    </xf>
    <xf numFmtId="0" fontId="36" fillId="0" borderId="11" xfId="0" applyFont="1" applyFill="1" applyBorder="1" applyAlignment="1">
      <alignment horizontal="center" vertical="top" shrinkToFit="1"/>
    </xf>
    <xf numFmtId="0" fontId="36" fillId="0" borderId="15" xfId="0" applyFont="1" applyFill="1" applyBorder="1" applyAlignment="1">
      <alignment vertical="top"/>
    </xf>
    <xf numFmtId="0" fontId="36" fillId="0" borderId="16" xfId="0" applyFont="1" applyFill="1" applyBorder="1" applyAlignment="1">
      <alignment vertical="top" wrapText="1"/>
    </xf>
    <xf numFmtId="0" fontId="18" fillId="0" borderId="37" xfId="0" applyFont="1" applyFill="1" applyBorder="1" applyAlignment="1">
      <alignment vertical="top"/>
    </xf>
    <xf numFmtId="187" fontId="39" fillId="0" borderId="0" xfId="50" applyFont="1" applyFill="1" applyAlignment="1">
      <alignment vertical="top"/>
    </xf>
    <xf numFmtId="188" fontId="36" fillId="0" borderId="32" xfId="50" applyNumberFormat="1" applyFont="1" applyFill="1" applyBorder="1" applyAlignment="1">
      <alignment horizontal="center" vertical="top"/>
    </xf>
    <xf numFmtId="0" fontId="36" fillId="0" borderId="32" xfId="0" applyFont="1" applyFill="1" applyBorder="1" applyAlignment="1">
      <alignment horizontal="center" vertical="top" shrinkToFit="1"/>
    </xf>
    <xf numFmtId="188" fontId="36" fillId="0" borderId="0" xfId="50" applyNumberFormat="1" applyFont="1" applyFill="1" applyBorder="1" applyAlignment="1">
      <alignment horizontal="center" vertical="top"/>
    </xf>
    <xf numFmtId="0" fontId="36" fillId="0" borderId="0" xfId="0" applyFont="1" applyFill="1" applyBorder="1" applyAlignment="1">
      <alignment horizontal="center" vertical="top" shrinkToFit="1"/>
    </xf>
    <xf numFmtId="0" fontId="36" fillId="0" borderId="15" xfId="0" applyFont="1" applyFill="1" applyBorder="1" applyAlignment="1">
      <alignment horizontal="center"/>
    </xf>
    <xf numFmtId="187" fontId="19" fillId="0" borderId="13" xfId="50" applyNumberFormat="1" applyFont="1" applyFill="1" applyBorder="1"/>
    <xf numFmtId="187" fontId="18" fillId="0" borderId="13" xfId="50" applyFont="1" applyFill="1" applyBorder="1"/>
    <xf numFmtId="0" fontId="39" fillId="0" borderId="0" xfId="0" applyFont="1" applyFill="1"/>
    <xf numFmtId="0" fontId="42" fillId="0" borderId="0" xfId="0" applyFont="1" applyFill="1"/>
    <xf numFmtId="0" fontId="36" fillId="0" borderId="0" xfId="0" applyFont="1" applyFill="1"/>
    <xf numFmtId="0" fontId="36" fillId="0" borderId="0" xfId="0" applyFont="1" applyFill="1" applyAlignment="1">
      <alignment horizontal="center"/>
    </xf>
    <xf numFmtId="188" fontId="36" fillId="0" borderId="0" xfId="50" applyNumberFormat="1" applyFont="1" applyFill="1" applyAlignment="1">
      <alignment horizontal="center"/>
    </xf>
    <xf numFmtId="0" fontId="36" fillId="0" borderId="83" xfId="0" applyFont="1" applyFill="1" applyBorder="1"/>
    <xf numFmtId="0" fontId="36" fillId="0" borderId="84" xfId="0" applyFont="1" applyFill="1" applyBorder="1"/>
    <xf numFmtId="0" fontId="39" fillId="0" borderId="36" xfId="0" applyFont="1" applyFill="1" applyBorder="1"/>
    <xf numFmtId="0" fontId="39" fillId="0" borderId="58" xfId="0" applyFont="1" applyFill="1" applyBorder="1" applyAlignment="1">
      <alignment horizontal="center" vertical="center"/>
    </xf>
    <xf numFmtId="49" fontId="39" fillId="0" borderId="63" xfId="50" applyNumberFormat="1" applyFont="1" applyFill="1" applyBorder="1" applyAlignment="1">
      <alignment horizontal="center" wrapText="1"/>
    </xf>
    <xf numFmtId="0" fontId="39" fillId="0" borderId="27" xfId="0" applyFont="1" applyFill="1" applyBorder="1" applyAlignment="1">
      <alignment horizontal="center" wrapText="1"/>
    </xf>
    <xf numFmtId="0" fontId="39" fillId="5" borderId="39" xfId="0" applyFont="1" applyFill="1" applyBorder="1" applyAlignment="1">
      <alignment horizontal="center" wrapText="1"/>
    </xf>
    <xf numFmtId="187" fontId="39" fillId="0" borderId="63" xfId="50" applyFont="1" applyFill="1" applyBorder="1" applyAlignment="1">
      <alignment horizontal="center" wrapText="1"/>
    </xf>
    <xf numFmtId="0" fontId="39" fillId="0" borderId="85" xfId="0" applyFont="1" applyFill="1" applyBorder="1" applyAlignment="1">
      <alignment horizontal="center" wrapText="1"/>
    </xf>
    <xf numFmtId="0" fontId="39" fillId="0" borderId="0" xfId="0" applyFont="1" applyFill="1" applyBorder="1" applyAlignment="1">
      <alignment horizontal="center" wrapText="1"/>
    </xf>
    <xf numFmtId="0" fontId="39" fillId="0" borderId="86" xfId="0" applyFont="1" applyFill="1" applyBorder="1"/>
    <xf numFmtId="0" fontId="39" fillId="0" borderId="3" xfId="0" applyFont="1" applyFill="1" applyBorder="1"/>
    <xf numFmtId="187" fontId="39" fillId="0" borderId="83" xfId="50" applyFont="1" applyFill="1" applyBorder="1"/>
    <xf numFmtId="0" fontId="39" fillId="0" borderId="2" xfId="0" applyFont="1" applyFill="1" applyBorder="1"/>
    <xf numFmtId="0" fontId="39" fillId="5" borderId="3" xfId="0" applyFont="1" applyFill="1" applyBorder="1"/>
    <xf numFmtId="0" fontId="39" fillId="0" borderId="84" xfId="0" applyFont="1" applyFill="1" applyBorder="1"/>
    <xf numFmtId="0" fontId="39" fillId="5" borderId="4" xfId="0" applyFont="1" applyFill="1" applyBorder="1"/>
    <xf numFmtId="0" fontId="39" fillId="5" borderId="7" xfId="0" applyFont="1" applyFill="1" applyBorder="1"/>
    <xf numFmtId="187" fontId="39" fillId="5" borderId="20" xfId="50" applyFont="1" applyFill="1" applyBorder="1"/>
    <xf numFmtId="187" fontId="39" fillId="5" borderId="6" xfId="50" applyFont="1" applyFill="1" applyBorder="1"/>
    <xf numFmtId="187" fontId="39" fillId="5" borderId="7" xfId="50" applyFont="1" applyFill="1" applyBorder="1"/>
    <xf numFmtId="187" fontId="39" fillId="5" borderId="87" xfId="50" applyFont="1" applyFill="1" applyBorder="1"/>
    <xf numFmtId="187" fontId="39" fillId="0" borderId="0" xfId="50" applyFont="1" applyFill="1" applyBorder="1"/>
    <xf numFmtId="43" fontId="36" fillId="0" borderId="0" xfId="0" applyNumberFormat="1" applyFont="1" applyFill="1"/>
    <xf numFmtId="0" fontId="36" fillId="0" borderId="36" xfId="0" applyFont="1" applyFill="1" applyBorder="1"/>
    <xf numFmtId="0" fontId="36" fillId="0" borderId="58" xfId="0" applyFont="1" applyFill="1" applyBorder="1"/>
    <xf numFmtId="187" fontId="36" fillId="0" borderId="56" xfId="50" applyNumberFormat="1" applyFont="1" applyFill="1" applyBorder="1" applyAlignment="1">
      <alignment vertical="top"/>
    </xf>
    <xf numFmtId="187" fontId="36" fillId="0" borderId="51" xfId="50" applyNumberFormat="1" applyFont="1" applyFill="1" applyBorder="1" applyAlignment="1">
      <alignment vertical="top"/>
    </xf>
    <xf numFmtId="187" fontId="36" fillId="5" borderId="58" xfId="50" applyNumberFormat="1" applyFont="1" applyFill="1" applyBorder="1" applyAlignment="1">
      <alignment vertical="top"/>
    </xf>
    <xf numFmtId="43" fontId="36" fillId="5" borderId="58" xfId="0" applyNumberFormat="1" applyFont="1" applyFill="1" applyBorder="1"/>
    <xf numFmtId="187" fontId="36" fillId="0" borderId="88" xfId="50" applyNumberFormat="1" applyFont="1" applyFill="1" applyBorder="1" applyAlignment="1">
      <alignment vertical="top"/>
    </xf>
    <xf numFmtId="0" fontId="36" fillId="0" borderId="12" xfId="0" applyFont="1" applyFill="1" applyBorder="1"/>
    <xf numFmtId="0" fontId="36" fillId="0" borderId="14" xfId="0" applyFont="1" applyFill="1" applyBorder="1"/>
    <xf numFmtId="187" fontId="36" fillId="5" borderId="14" xfId="50" applyNumberFormat="1" applyFont="1" applyFill="1" applyBorder="1" applyAlignment="1">
      <alignment vertical="top"/>
    </xf>
    <xf numFmtId="43" fontId="36" fillId="5" borderId="14" xfId="0" applyNumberFormat="1" applyFont="1" applyFill="1" applyBorder="1"/>
    <xf numFmtId="187" fontId="36" fillId="0" borderId="16" xfId="50" applyNumberFormat="1" applyFont="1" applyFill="1" applyBorder="1" applyAlignment="1">
      <alignment vertical="top"/>
    </xf>
    <xf numFmtId="0" fontId="36" fillId="0" borderId="70" xfId="0" applyFont="1" applyFill="1" applyBorder="1"/>
    <xf numFmtId="0" fontId="36" fillId="0" borderId="22" xfId="0" applyFont="1" applyFill="1" applyBorder="1"/>
    <xf numFmtId="187" fontId="36" fillId="0" borderId="52" xfId="50" applyFont="1" applyFill="1" applyBorder="1"/>
    <xf numFmtId="0" fontId="36" fillId="0" borderId="21" xfId="0" applyFont="1" applyFill="1" applyBorder="1"/>
    <xf numFmtId="0" fontId="36" fillId="5" borderId="22" xfId="0" applyFont="1" applyFill="1" applyBorder="1"/>
    <xf numFmtId="0" fontId="36" fillId="0" borderId="89" xfId="0" applyFont="1" applyFill="1" applyBorder="1"/>
    <xf numFmtId="0" fontId="36" fillId="0" borderId="90" xfId="0" applyFont="1" applyFill="1" applyBorder="1"/>
    <xf numFmtId="0" fontId="36" fillId="0" borderId="91" xfId="0" applyFont="1" applyFill="1" applyBorder="1"/>
    <xf numFmtId="187" fontId="36" fillId="0" borderId="92" xfId="50" applyFont="1" applyFill="1" applyBorder="1"/>
    <xf numFmtId="187" fontId="36" fillId="0" borderId="93" xfId="50" applyNumberFormat="1" applyFont="1" applyFill="1" applyBorder="1" applyAlignment="1">
      <alignment vertical="top"/>
    </xf>
    <xf numFmtId="187" fontId="36" fillId="5" borderId="91" xfId="50" applyNumberFormat="1" applyFont="1" applyFill="1" applyBorder="1" applyAlignment="1">
      <alignment vertical="top"/>
    </xf>
    <xf numFmtId="187" fontId="36" fillId="0" borderId="92" xfId="50" applyNumberFormat="1" applyFont="1" applyFill="1" applyBorder="1" applyAlignment="1">
      <alignment vertical="top"/>
    </xf>
    <xf numFmtId="43" fontId="36" fillId="5" borderId="91" xfId="0" applyNumberFormat="1" applyFont="1" applyFill="1" applyBorder="1"/>
    <xf numFmtId="187" fontId="36" fillId="0" borderId="94" xfId="50" applyNumberFormat="1" applyFont="1" applyFill="1" applyBorder="1" applyAlignment="1">
      <alignment vertical="top"/>
    </xf>
    <xf numFmtId="0" fontId="36" fillId="0" borderId="36" xfId="0" applyFont="1" applyFill="1" applyBorder="1" applyAlignment="1">
      <alignment vertical="top"/>
    </xf>
    <xf numFmtId="0" fontId="36" fillId="0" borderId="58" xfId="0" applyFont="1" applyFill="1" applyBorder="1" applyAlignment="1">
      <alignment vertical="top"/>
    </xf>
    <xf numFmtId="187" fontId="36" fillId="0" borderId="56" xfId="50" applyFont="1" applyFill="1" applyBorder="1"/>
    <xf numFmtId="187" fontId="36" fillId="0" borderId="15" xfId="50" applyFont="1" applyFill="1" applyBorder="1"/>
    <xf numFmtId="187" fontId="36" fillId="0" borderId="21" xfId="50" applyFont="1" applyFill="1" applyBorder="1"/>
    <xf numFmtId="0" fontId="36" fillId="0" borderId="70" xfId="0" applyFont="1" applyFill="1" applyBorder="1" applyAlignment="1">
      <alignment horizontal="center" vertical="top"/>
    </xf>
    <xf numFmtId="0" fontId="36" fillId="0" borderId="22" xfId="0" applyFont="1" applyFill="1" applyBorder="1" applyAlignment="1">
      <alignment vertical="top" wrapText="1"/>
    </xf>
    <xf numFmtId="187" fontId="36" fillId="0" borderId="52" xfId="50" applyNumberFormat="1" applyFont="1" applyFill="1" applyBorder="1" applyAlignment="1">
      <alignment vertical="top"/>
    </xf>
    <xf numFmtId="187" fontId="36" fillId="0" borderId="21" xfId="50" applyNumberFormat="1" applyFont="1" applyFill="1" applyBorder="1" applyAlignment="1">
      <alignment vertical="top"/>
    </xf>
    <xf numFmtId="187" fontId="36" fillId="5" borderId="22" xfId="50" applyNumberFormat="1" applyFont="1" applyFill="1" applyBorder="1" applyAlignment="1">
      <alignment vertical="top"/>
    </xf>
    <xf numFmtId="43" fontId="36" fillId="5" borderId="22" xfId="0" applyNumberFormat="1" applyFont="1" applyFill="1" applyBorder="1"/>
    <xf numFmtId="187" fontId="36" fillId="0" borderId="89" xfId="50" applyFont="1" applyFill="1" applyBorder="1"/>
    <xf numFmtId="187" fontId="36" fillId="0" borderId="51" xfId="50" applyFont="1" applyFill="1" applyBorder="1"/>
    <xf numFmtId="187" fontId="36" fillId="0" borderId="88" xfId="50" applyFont="1" applyFill="1" applyBorder="1"/>
    <xf numFmtId="187" fontId="36" fillId="0" borderId="0" xfId="50" applyNumberFormat="1" applyFont="1" applyFill="1" applyBorder="1" applyAlignment="1">
      <alignment vertical="top"/>
    </xf>
    <xf numFmtId="0" fontId="36" fillId="0" borderId="27" xfId="0" applyFont="1" applyFill="1" applyBorder="1"/>
    <xf numFmtId="187" fontId="36" fillId="0" borderId="27" xfId="50" applyFont="1" applyFill="1" applyBorder="1"/>
    <xf numFmtId="187" fontId="36" fillId="0" borderId="27" xfId="50" applyFont="1" applyFill="1" applyBorder="1" applyAlignment="1">
      <alignment horizontal="center"/>
    </xf>
    <xf numFmtId="0" fontId="36" fillId="0" borderId="31" xfId="0" applyFont="1" applyFill="1" applyBorder="1"/>
    <xf numFmtId="0" fontId="22" fillId="0" borderId="31" xfId="0" applyFont="1" applyBorder="1"/>
    <xf numFmtId="0" fontId="22" fillId="0" borderId="0" xfId="0" applyFont="1"/>
    <xf numFmtId="0" fontId="41" fillId="6" borderId="0" xfId="0" applyFont="1" applyFill="1" applyBorder="1"/>
    <xf numFmtId="0" fontId="41" fillId="6" borderId="51" xfId="0" applyFont="1" applyFill="1" applyBorder="1" applyAlignment="1">
      <alignment vertical="top"/>
    </xf>
    <xf numFmtId="0" fontId="41" fillId="6" borderId="51" xfId="0" applyFont="1" applyFill="1" applyBorder="1"/>
    <xf numFmtId="188" fontId="41" fillId="6" borderId="51" xfId="50" applyNumberFormat="1" applyFont="1" applyFill="1" applyBorder="1"/>
    <xf numFmtId="0" fontId="43" fillId="6" borderId="51" xfId="0" applyFont="1" applyFill="1" applyBorder="1"/>
    <xf numFmtId="188" fontId="43" fillId="6" borderId="51" xfId="0" applyNumberFormat="1" applyFont="1" applyFill="1" applyBorder="1"/>
    <xf numFmtId="0" fontId="43" fillId="6" borderId="0" xfId="0" applyFont="1" applyFill="1"/>
    <xf numFmtId="0" fontId="41" fillId="6" borderId="0" xfId="0" applyFont="1" applyFill="1"/>
    <xf numFmtId="0" fontId="41" fillId="0" borderId="0" xfId="0" applyFont="1" applyFill="1" applyBorder="1"/>
    <xf numFmtId="0" fontId="41" fillId="0" borderId="51" xfId="0" applyFont="1" applyFill="1" applyBorder="1" applyAlignment="1">
      <alignment vertical="top"/>
    </xf>
    <xf numFmtId="0" fontId="41" fillId="0" borderId="51" xfId="0" applyFont="1" applyFill="1" applyBorder="1"/>
    <xf numFmtId="188" fontId="41" fillId="0" borderId="51" xfId="50" applyNumberFormat="1" applyFont="1" applyFill="1" applyBorder="1"/>
    <xf numFmtId="0" fontId="43" fillId="0" borderId="51" xfId="0" applyFont="1" applyBorder="1"/>
    <xf numFmtId="188" fontId="43" fillId="0" borderId="51" xfId="0" applyNumberFormat="1" applyFont="1" applyBorder="1"/>
    <xf numFmtId="0" fontId="43" fillId="0" borderId="0" xfId="0" applyFont="1"/>
    <xf numFmtId="0" fontId="41" fillId="0" borderId="0" xfId="0" applyFont="1" applyFill="1"/>
    <xf numFmtId="0" fontId="36" fillId="0" borderId="51" xfId="0" applyFont="1" applyFill="1" applyBorder="1"/>
    <xf numFmtId="188" fontId="36" fillId="0" borderId="51" xfId="50" applyNumberFormat="1" applyFont="1" applyFill="1" applyBorder="1"/>
    <xf numFmtId="188" fontId="22" fillId="0" borderId="51" xfId="0" applyNumberFormat="1" applyFont="1" applyBorder="1"/>
    <xf numFmtId="0" fontId="39" fillId="0" borderId="48" xfId="0" applyFont="1" applyFill="1" applyBorder="1"/>
    <xf numFmtId="188" fontId="39" fillId="0" borderId="48" xfId="50" applyNumberFormat="1" applyFont="1" applyFill="1" applyBorder="1"/>
    <xf numFmtId="43" fontId="18" fillId="0" borderId="0" xfId="0" applyNumberFormat="1" applyFont="1" applyFill="1"/>
    <xf numFmtId="0" fontId="18" fillId="0" borderId="42" xfId="0" applyFont="1" applyFill="1" applyBorder="1" applyAlignment="1">
      <alignment vertical="top"/>
    </xf>
    <xf numFmtId="187" fontId="18" fillId="0" borderId="42" xfId="50" applyFont="1" applyFill="1" applyBorder="1" applyAlignment="1">
      <alignment vertical="top"/>
    </xf>
    <xf numFmtId="0" fontId="19" fillId="0" borderId="3" xfId="0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horizontal="center" shrinkToFit="1"/>
    </xf>
    <xf numFmtId="49" fontId="19" fillId="0" borderId="39" xfId="0" applyNumberFormat="1" applyFont="1" applyFill="1" applyBorder="1" applyAlignment="1">
      <alignment horizontal="center" shrinkToFit="1"/>
    </xf>
    <xf numFmtId="49" fontId="39" fillId="0" borderId="96" xfId="0" applyNumberFormat="1" applyFont="1" applyFill="1" applyBorder="1" applyAlignment="1">
      <alignment horizontal="center" shrinkToFit="1"/>
    </xf>
    <xf numFmtId="49" fontId="19" fillId="0" borderId="58" xfId="0" applyNumberFormat="1" applyFont="1" applyFill="1" applyBorder="1" applyAlignment="1">
      <alignment horizontal="center" shrinkToFit="1"/>
    </xf>
    <xf numFmtId="0" fontId="19" fillId="0" borderId="78" xfId="0" applyFont="1" applyFill="1" applyBorder="1" applyAlignment="1">
      <alignment horizontal="center" vertical="center" wrapText="1" shrinkToFit="1"/>
    </xf>
    <xf numFmtId="0" fontId="19" fillId="0" borderId="51" xfId="0" applyFont="1" applyFill="1" applyBorder="1" applyAlignment="1">
      <alignment horizontal="center" vertical="center" wrapText="1" shrinkToFit="1"/>
    </xf>
    <xf numFmtId="0" fontId="19" fillId="0" borderId="58" xfId="0" applyFont="1" applyFill="1" applyBorder="1" applyAlignment="1">
      <alignment horizontal="center" vertical="center" wrapText="1" shrinkToFit="1"/>
    </xf>
    <xf numFmtId="0" fontId="19" fillId="0" borderId="63" xfId="0" applyFont="1" applyFill="1" applyBorder="1"/>
    <xf numFmtId="187" fontId="18" fillId="0" borderId="27" xfId="50" applyFont="1" applyFill="1" applyBorder="1"/>
    <xf numFmtId="187" fontId="19" fillId="0" borderId="39" xfId="50" applyFont="1" applyFill="1" applyBorder="1"/>
    <xf numFmtId="187" fontId="18" fillId="0" borderId="96" xfId="50" applyFont="1" applyFill="1" applyBorder="1"/>
    <xf numFmtId="187" fontId="19" fillId="0" borderId="27" xfId="50" applyFont="1" applyFill="1" applyBorder="1"/>
    <xf numFmtId="0" fontId="19" fillId="0" borderId="15" xfId="0" applyFont="1" applyFill="1" applyBorder="1"/>
    <xf numFmtId="187" fontId="19" fillId="0" borderId="14" xfId="50" applyFont="1" applyFill="1" applyBorder="1"/>
    <xf numFmtId="187" fontId="39" fillId="0" borderId="13" xfId="50" applyNumberFormat="1" applyFont="1" applyFill="1" applyBorder="1"/>
    <xf numFmtId="187" fontId="19" fillId="0" borderId="54" xfId="50" applyNumberFormat="1" applyFont="1" applyFill="1" applyBorder="1"/>
    <xf numFmtId="187" fontId="19" fillId="0" borderId="13" xfId="50" applyFont="1" applyFill="1" applyBorder="1"/>
    <xf numFmtId="187" fontId="39" fillId="0" borderId="54" xfId="50" applyFont="1" applyFill="1" applyBorder="1"/>
    <xf numFmtId="187" fontId="19" fillId="0" borderId="54" xfId="50" applyFont="1" applyFill="1" applyBorder="1"/>
    <xf numFmtId="187" fontId="19" fillId="0" borderId="0" xfId="0" applyNumberFormat="1" applyFont="1" applyFill="1"/>
    <xf numFmtId="0" fontId="25" fillId="0" borderId="68" xfId="0" applyFont="1" applyFill="1" applyBorder="1" applyAlignment="1">
      <alignment horizontal="left" indent="1"/>
    </xf>
    <xf numFmtId="187" fontId="18" fillId="0" borderId="35" xfId="50" applyNumberFormat="1" applyFont="1" applyFill="1" applyBorder="1"/>
    <xf numFmtId="187" fontId="25" fillId="0" borderId="35" xfId="50" applyNumberFormat="1" applyFont="1" applyFill="1" applyBorder="1"/>
    <xf numFmtId="187" fontId="19" fillId="0" borderId="34" xfId="50" applyFont="1" applyFill="1" applyBorder="1"/>
    <xf numFmtId="187" fontId="36" fillId="0" borderId="35" xfId="50" applyNumberFormat="1" applyFont="1" applyFill="1" applyBorder="1"/>
    <xf numFmtId="187" fontId="18" fillId="0" borderId="67" xfId="50" applyNumberFormat="1" applyFont="1" applyFill="1" applyBorder="1"/>
    <xf numFmtId="187" fontId="25" fillId="0" borderId="35" xfId="50" applyFont="1" applyFill="1" applyBorder="1"/>
    <xf numFmtId="187" fontId="19" fillId="0" borderId="35" xfId="50" applyFont="1" applyFill="1" applyBorder="1"/>
    <xf numFmtId="0" fontId="25" fillId="0" borderId="0" xfId="0" applyFont="1" applyFill="1"/>
    <xf numFmtId="0" fontId="25" fillId="0" borderId="56" xfId="0" applyFont="1" applyFill="1" applyBorder="1" applyAlignment="1">
      <alignment horizontal="left" indent="1"/>
    </xf>
    <xf numFmtId="187" fontId="18" fillId="0" borderId="51" xfId="50" applyNumberFormat="1" applyFont="1" applyFill="1" applyBorder="1"/>
    <xf numFmtId="187" fontId="25" fillId="0" borderId="51" xfId="50" applyNumberFormat="1" applyFont="1" applyFill="1" applyBorder="1"/>
    <xf numFmtId="187" fontId="19" fillId="0" borderId="58" xfId="50" applyFont="1" applyFill="1" applyBorder="1"/>
    <xf numFmtId="187" fontId="36" fillId="0" borderId="51" xfId="50" applyNumberFormat="1" applyFont="1" applyFill="1" applyBorder="1"/>
    <xf numFmtId="187" fontId="18" fillId="0" borderId="57" xfId="50" applyNumberFormat="1" applyFont="1" applyFill="1" applyBorder="1"/>
    <xf numFmtId="187" fontId="25" fillId="0" borderId="51" xfId="50" applyFont="1" applyFill="1" applyBorder="1"/>
    <xf numFmtId="187" fontId="19" fillId="0" borderId="51" xfId="50" applyFont="1" applyFill="1" applyBorder="1"/>
    <xf numFmtId="43" fontId="25" fillId="0" borderId="0" xfId="0" applyNumberFormat="1" applyFont="1" applyFill="1"/>
    <xf numFmtId="0" fontId="23" fillId="0" borderId="0" xfId="0" applyFont="1" applyFill="1"/>
    <xf numFmtId="187" fontId="25" fillId="0" borderId="0" xfId="50" applyFont="1" applyFill="1"/>
    <xf numFmtId="0" fontId="25" fillId="0" borderId="66" xfId="0" applyFont="1" applyFill="1" applyBorder="1" applyAlignment="1">
      <alignment horizontal="left" indent="1"/>
    </xf>
    <xf numFmtId="187" fontId="18" fillId="0" borderId="9" xfId="50" applyNumberFormat="1" applyFont="1" applyFill="1" applyBorder="1"/>
    <xf numFmtId="187" fontId="25" fillId="0" borderId="9" xfId="50" applyNumberFormat="1" applyFont="1" applyFill="1" applyBorder="1"/>
    <xf numFmtId="187" fontId="19" fillId="0" borderId="10" xfId="50" applyFont="1" applyFill="1" applyBorder="1"/>
    <xf numFmtId="187" fontId="36" fillId="0" borderId="9" xfId="50" applyNumberFormat="1" applyFont="1" applyFill="1" applyBorder="1"/>
    <xf numFmtId="187" fontId="18" fillId="0" borderId="65" xfId="50" applyNumberFormat="1" applyFont="1" applyFill="1" applyBorder="1"/>
    <xf numFmtId="187" fontId="25" fillId="0" borderId="9" xfId="50" applyFont="1" applyFill="1" applyBorder="1"/>
    <xf numFmtId="187" fontId="19" fillId="0" borderId="9" xfId="50" applyFont="1" applyFill="1" applyBorder="1"/>
    <xf numFmtId="187" fontId="36" fillId="0" borderId="13" xfId="50" applyFont="1" applyFill="1" applyBorder="1"/>
    <xf numFmtId="187" fontId="18" fillId="0" borderId="54" xfId="50" applyFont="1" applyFill="1" applyBorder="1"/>
    <xf numFmtId="43" fontId="39" fillId="0" borderId="13" xfId="0" applyNumberFormat="1" applyFont="1" applyFill="1" applyBorder="1"/>
    <xf numFmtId="43" fontId="19" fillId="0" borderId="13" xfId="0" applyNumberFormat="1" applyFont="1" applyFill="1" applyBorder="1"/>
    <xf numFmtId="187" fontId="25" fillId="0" borderId="0" xfId="50" applyFont="1" applyFill="1" applyBorder="1"/>
    <xf numFmtId="187" fontId="19" fillId="0" borderId="31" xfId="50" applyFont="1" applyFill="1" applyBorder="1"/>
    <xf numFmtId="187" fontId="44" fillId="0" borderId="0" xfId="50" applyFont="1" applyFill="1" applyBorder="1"/>
    <xf numFmtId="187" fontId="36" fillId="0" borderId="0" xfId="0" applyNumberFormat="1" applyFont="1" applyFill="1"/>
    <xf numFmtId="187" fontId="45" fillId="0" borderId="0" xfId="50" applyFont="1" applyFill="1"/>
    <xf numFmtId="0" fontId="39" fillId="0" borderId="0" xfId="0" applyFont="1" applyFill="1" applyAlignment="1">
      <alignment horizontal="right"/>
    </xf>
    <xf numFmtId="0" fontId="42" fillId="0" borderId="0" xfId="0" applyFont="1" applyFill="1" applyAlignment="1">
      <alignment horizontal="center"/>
    </xf>
    <xf numFmtId="2" fontId="39" fillId="0" borderId="11" xfId="0" applyNumberFormat="1" applyFont="1" applyFill="1" applyBorder="1" applyAlignment="1">
      <alignment horizontal="center" vertical="center"/>
    </xf>
    <xf numFmtId="2" fontId="39" fillId="0" borderId="97" xfId="0" applyNumberFormat="1" applyFont="1" applyFill="1" applyBorder="1" applyAlignment="1">
      <alignment horizontal="center" vertical="center"/>
    </xf>
    <xf numFmtId="2" fontId="39" fillId="0" borderId="11" xfId="0" applyNumberFormat="1" applyFont="1" applyFill="1" applyBorder="1" applyAlignment="1">
      <alignment horizontal="center" vertical="center" wrapText="1"/>
    </xf>
    <xf numFmtId="0" fontId="36" fillId="0" borderId="98" xfId="0" applyFont="1" applyFill="1" applyBorder="1" applyAlignment="1">
      <alignment horizontal="center" wrapText="1"/>
    </xf>
    <xf numFmtId="187" fontId="36" fillId="0" borderId="27" xfId="50" applyFont="1" applyFill="1" applyBorder="1" applyAlignment="1">
      <alignment horizontal="right"/>
    </xf>
    <xf numFmtId="187" fontId="39" fillId="0" borderId="27" xfId="50" applyFont="1" applyFill="1" applyBorder="1"/>
    <xf numFmtId="0" fontId="36" fillId="0" borderId="13" xfId="0" applyFont="1" applyFill="1" applyBorder="1"/>
    <xf numFmtId="0" fontId="36" fillId="0" borderId="13" xfId="0" applyFont="1" applyFill="1" applyBorder="1" applyAlignment="1">
      <alignment horizontal="center" wrapText="1"/>
    </xf>
    <xf numFmtId="187" fontId="36" fillId="0" borderId="13" xfId="50" applyFont="1" applyFill="1" applyBorder="1" applyAlignment="1">
      <alignment horizontal="right"/>
    </xf>
    <xf numFmtId="187" fontId="39" fillId="0" borderId="13" xfId="50" applyFont="1" applyFill="1" applyBorder="1"/>
    <xf numFmtId="0" fontId="36" fillId="0" borderId="13" xfId="0" applyFont="1" applyFill="1" applyBorder="1" applyAlignment="1">
      <alignment horizontal="center"/>
    </xf>
    <xf numFmtId="0" fontId="39" fillId="0" borderId="99" xfId="0" applyFont="1" applyFill="1" applyBorder="1" applyAlignment="1">
      <alignment horizontal="center"/>
    </xf>
    <xf numFmtId="187" fontId="39" fillId="0" borderId="99" xfId="50" applyFont="1" applyFill="1" applyBorder="1"/>
    <xf numFmtId="4" fontId="39" fillId="0" borderId="0" xfId="0" applyNumberFormat="1" applyFont="1" applyFill="1"/>
    <xf numFmtId="0" fontId="39" fillId="0" borderId="0" xfId="0" applyFont="1" applyFill="1" applyBorder="1" applyAlignment="1">
      <alignment horizontal="center"/>
    </xf>
    <xf numFmtId="43" fontId="39" fillId="0" borderId="0" xfId="0" applyNumberFormat="1" applyFont="1" applyFill="1"/>
    <xf numFmtId="0" fontId="36" fillId="0" borderId="0" xfId="0" applyFont="1" applyFill="1" applyBorder="1" applyAlignment="1">
      <alignment horizontal="left" indent="2"/>
    </xf>
    <xf numFmtId="0" fontId="36" fillId="0" borderId="0" xfId="0" applyFont="1" applyFill="1" applyBorder="1" applyAlignment="1">
      <alignment horizontal="center" wrapText="1"/>
    </xf>
    <xf numFmtId="187" fontId="36" fillId="0" borderId="0" xfId="50" applyFont="1" applyFill="1" applyBorder="1" applyAlignment="1">
      <alignment horizontal="right" wrapText="1"/>
    </xf>
    <xf numFmtId="0" fontId="36" fillId="0" borderId="0" xfId="0" applyFont="1" applyFill="1" applyAlignment="1"/>
    <xf numFmtId="0" fontId="36" fillId="0" borderId="0" xfId="0" applyFont="1" applyFill="1" applyBorder="1" applyAlignment="1"/>
    <xf numFmtId="43" fontId="39" fillId="0" borderId="100" xfId="0" applyNumberFormat="1" applyFont="1" applyFill="1" applyBorder="1"/>
    <xf numFmtId="43" fontId="36" fillId="0" borderId="0" xfId="0" applyNumberFormat="1" applyFont="1" applyFill="1" applyAlignment="1"/>
    <xf numFmtId="0" fontId="36" fillId="0" borderId="0" xfId="0" applyFont="1" applyFill="1" applyAlignment="1">
      <alignment horizontal="left" indent="4"/>
    </xf>
    <xf numFmtId="4" fontId="36" fillId="0" borderId="0" xfId="0" applyNumberFormat="1" applyFont="1" applyFill="1" applyAlignment="1"/>
    <xf numFmtId="0" fontId="18" fillId="0" borderId="70" xfId="0" applyFont="1" applyFill="1" applyBorder="1" applyAlignment="1">
      <alignment vertical="top"/>
    </xf>
    <xf numFmtId="0" fontId="18" fillId="0" borderId="14" xfId="0" applyFont="1" applyFill="1" applyBorder="1" applyAlignment="1">
      <alignment vertical="center" wrapText="1"/>
    </xf>
    <xf numFmtId="187" fontId="19" fillId="0" borderId="40" xfId="50" applyFont="1" applyFill="1" applyBorder="1" applyAlignment="1">
      <alignment horizontal="center" vertical="center"/>
    </xf>
    <xf numFmtId="187" fontId="19" fillId="0" borderId="11" xfId="5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top"/>
    </xf>
    <xf numFmtId="0" fontId="39" fillId="0" borderId="86" xfId="0" applyFont="1" applyFill="1" applyBorder="1" applyAlignment="1">
      <alignment vertical="top" wrapText="1"/>
    </xf>
    <xf numFmtId="0" fontId="36" fillId="0" borderId="103" xfId="0" applyFont="1" applyFill="1" applyBorder="1" applyAlignment="1">
      <alignment vertical="top" wrapText="1"/>
    </xf>
    <xf numFmtId="0" fontId="36" fillId="0" borderId="3" xfId="0" applyFont="1" applyFill="1" applyBorder="1" applyAlignment="1">
      <alignment vertical="top" wrapText="1"/>
    </xf>
    <xf numFmtId="0" fontId="36" fillId="0" borderId="8" xfId="0" applyFont="1" applyFill="1" applyBorder="1" applyAlignment="1">
      <alignment vertical="top" wrapText="1"/>
    </xf>
    <xf numFmtId="0" fontId="36" fillId="0" borderId="104" xfId="0" applyFont="1" applyFill="1" applyBorder="1" applyAlignment="1">
      <alignment vertical="top" wrapText="1"/>
    </xf>
    <xf numFmtId="0" fontId="36" fillId="0" borderId="75" xfId="0" applyFont="1" applyFill="1" applyBorder="1" applyAlignment="1">
      <alignment vertical="top" wrapText="1"/>
    </xf>
    <xf numFmtId="0" fontId="36" fillId="0" borderId="12" xfId="0" applyFont="1" applyFill="1" applyBorder="1" applyAlignment="1">
      <alignment horizontal="center"/>
    </xf>
    <xf numFmtId="187" fontId="36" fillId="0" borderId="11" xfId="50" applyFont="1" applyFill="1" applyBorder="1" applyAlignment="1">
      <alignment vertical="top"/>
    </xf>
    <xf numFmtId="187" fontId="36" fillId="0" borderId="41" xfId="50" applyFont="1" applyFill="1" applyBorder="1" applyAlignment="1">
      <alignment vertical="top"/>
    </xf>
    <xf numFmtId="187" fontId="36" fillId="0" borderId="40" xfId="50" applyFont="1" applyFill="1" applyBorder="1" applyAlignment="1">
      <alignment vertical="top"/>
    </xf>
    <xf numFmtId="0" fontId="18" fillId="0" borderId="76" xfId="0" applyFont="1" applyFill="1" applyBorder="1" applyAlignment="1">
      <alignment vertical="top"/>
    </xf>
    <xf numFmtId="0" fontId="18" fillId="0" borderId="78" xfId="0" applyFont="1" applyFill="1" applyBorder="1" applyAlignment="1">
      <alignment vertical="center"/>
    </xf>
    <xf numFmtId="0" fontId="18" fillId="0" borderId="71" xfId="0" applyFont="1" applyFill="1" applyBorder="1" applyAlignment="1">
      <alignment vertical="top" wrapText="1"/>
    </xf>
    <xf numFmtId="0" fontId="18" fillId="0" borderId="105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vertical="center" wrapText="1"/>
    </xf>
    <xf numFmtId="0" fontId="19" fillId="0" borderId="86" xfId="0" applyFont="1" applyFill="1" applyBorder="1" applyAlignment="1">
      <alignment vertical="top"/>
    </xf>
    <xf numFmtId="0" fontId="19" fillId="0" borderId="105" xfId="0" applyFont="1" applyFill="1" applyBorder="1" applyAlignment="1">
      <alignment vertical="top" wrapText="1"/>
    </xf>
    <xf numFmtId="0" fontId="19" fillId="0" borderId="3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/>
    </xf>
    <xf numFmtId="0" fontId="19" fillId="0" borderId="70" xfId="0" applyFont="1" applyFill="1" applyBorder="1" applyAlignment="1">
      <alignment vertical="top"/>
    </xf>
    <xf numFmtId="0" fontId="36" fillId="0" borderId="70" xfId="0" applyFont="1" applyFill="1" applyBorder="1" applyAlignment="1">
      <alignment vertical="top" wrapText="1"/>
    </xf>
    <xf numFmtId="0" fontId="36" fillId="0" borderId="102" xfId="0" applyFont="1" applyFill="1" applyBorder="1" applyAlignment="1">
      <alignment vertical="top" wrapText="1"/>
    </xf>
    <xf numFmtId="0" fontId="18" fillId="0" borderId="106" xfId="0" applyFont="1" applyFill="1" applyBorder="1" applyAlignment="1">
      <alignment vertical="top"/>
    </xf>
    <xf numFmtId="187" fontId="36" fillId="0" borderId="9" xfId="50" applyNumberFormat="1" applyFont="1" applyFill="1" applyBorder="1" applyAlignment="1">
      <alignment vertical="top"/>
    </xf>
    <xf numFmtId="188" fontId="36" fillId="0" borderId="9" xfId="50" applyNumberFormat="1" applyFont="1" applyFill="1" applyBorder="1" applyAlignment="1">
      <alignment horizontal="center" vertical="top"/>
    </xf>
    <xf numFmtId="43" fontId="39" fillId="0" borderId="13" xfId="0" applyNumberFormat="1" applyFont="1" applyFill="1" applyBorder="1" applyAlignment="1">
      <alignment vertical="top"/>
    </xf>
    <xf numFmtId="0" fontId="36" fillId="0" borderId="13" xfId="0" applyFont="1" applyFill="1" applyBorder="1" applyAlignment="1">
      <alignment vertical="top"/>
    </xf>
    <xf numFmtId="0" fontId="36" fillId="0" borderId="121" xfId="0" applyFont="1" applyFill="1" applyBorder="1" applyAlignment="1">
      <alignment vertical="top" wrapText="1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187" fontId="39" fillId="0" borderId="0" xfId="50" applyFont="1" applyFill="1" applyAlignment="1">
      <alignment vertical="center"/>
    </xf>
    <xf numFmtId="187" fontId="36" fillId="0" borderId="0" xfId="50" applyFont="1" applyFill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 shrinkToFit="1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vertical="center" wrapText="1"/>
    </xf>
    <xf numFmtId="0" fontId="39" fillId="0" borderId="0" xfId="0" applyFont="1" applyFill="1" applyAlignment="1">
      <alignment horizontal="left" vertical="center"/>
    </xf>
    <xf numFmtId="187" fontId="39" fillId="0" borderId="108" xfId="50" applyFont="1" applyFill="1" applyBorder="1" applyAlignment="1">
      <alignment horizontal="center" vertical="center"/>
    </xf>
    <xf numFmtId="0" fontId="39" fillId="0" borderId="108" xfId="0" applyFont="1" applyFill="1" applyBorder="1" applyAlignment="1">
      <alignment horizontal="center" vertical="center"/>
    </xf>
    <xf numFmtId="0" fontId="39" fillId="0" borderId="108" xfId="0" applyFont="1" applyFill="1" applyBorder="1" applyAlignment="1">
      <alignment horizontal="center" vertical="center" shrinkToFit="1"/>
    </xf>
    <xf numFmtId="0" fontId="39" fillId="0" borderId="53" xfId="0" applyFont="1" applyFill="1" applyBorder="1" applyAlignment="1">
      <alignment horizontal="center" vertical="center"/>
    </xf>
    <xf numFmtId="0" fontId="39" fillId="0" borderId="83" xfId="0" applyFont="1" applyFill="1" applyBorder="1" applyAlignment="1">
      <alignment vertical="top"/>
    </xf>
    <xf numFmtId="0" fontId="39" fillId="0" borderId="2" xfId="0" applyFont="1" applyFill="1" applyBorder="1" applyAlignment="1">
      <alignment vertical="top" wrapText="1"/>
    </xf>
    <xf numFmtId="187" fontId="36" fillId="0" borderId="2" xfId="50" applyFont="1" applyFill="1" applyBorder="1" applyAlignment="1">
      <alignment vertical="top"/>
    </xf>
    <xf numFmtId="0" fontId="36" fillId="0" borderId="2" xfId="0" applyFont="1" applyFill="1" applyBorder="1" applyAlignment="1">
      <alignment horizontal="center" vertical="top"/>
    </xf>
    <xf numFmtId="0" fontId="36" fillId="0" borderId="2" xfId="0" applyFont="1" applyFill="1" applyBorder="1" applyAlignment="1">
      <alignment horizontal="center" vertical="top" shrinkToFit="1"/>
    </xf>
    <xf numFmtId="0" fontId="36" fillId="0" borderId="2" xfId="0" applyFont="1" applyFill="1" applyBorder="1" applyAlignment="1">
      <alignment vertical="top"/>
    </xf>
    <xf numFmtId="0" fontId="36" fillId="0" borderId="0" xfId="0" applyFont="1" applyFill="1" applyBorder="1" applyAlignment="1">
      <alignment vertical="top"/>
    </xf>
    <xf numFmtId="0" fontId="39" fillId="5" borderId="20" xfId="0" applyFont="1" applyFill="1" applyBorder="1" applyAlignment="1">
      <alignment vertical="top"/>
    </xf>
    <xf numFmtId="0" fontId="39" fillId="5" borderId="6" xfId="0" applyFont="1" applyFill="1" applyBorder="1" applyAlignment="1">
      <alignment vertical="top" wrapText="1"/>
    </xf>
    <xf numFmtId="187" fontId="39" fillId="5" borderId="6" xfId="50" applyFont="1" applyFill="1" applyBorder="1" applyAlignment="1">
      <alignment vertical="top"/>
    </xf>
    <xf numFmtId="188" fontId="39" fillId="5" borderId="6" xfId="50" applyNumberFormat="1" applyFont="1" applyFill="1" applyBorder="1" applyAlignment="1">
      <alignment horizontal="center" vertical="top"/>
    </xf>
    <xf numFmtId="0" fontId="39" fillId="5" borderId="6" xfId="0" applyFont="1" applyFill="1" applyBorder="1" applyAlignment="1">
      <alignment horizontal="center" vertical="top" shrinkToFit="1"/>
    </xf>
    <xf numFmtId="43" fontId="39" fillId="5" borderId="6" xfId="0" applyNumberFormat="1" applyFont="1" applyFill="1" applyBorder="1" applyAlignment="1">
      <alignment vertical="top"/>
    </xf>
    <xf numFmtId="187" fontId="39" fillId="5" borderId="87" xfId="50" applyFont="1" applyFill="1" applyBorder="1" applyAlignment="1">
      <alignment vertical="top"/>
    </xf>
    <xf numFmtId="187" fontId="39" fillId="5" borderId="7" xfId="50" applyFont="1" applyFill="1" applyBorder="1" applyAlignment="1">
      <alignment vertical="top"/>
    </xf>
    <xf numFmtId="0" fontId="36" fillId="0" borderId="66" xfId="0" applyFont="1" applyFill="1" applyBorder="1" applyAlignment="1">
      <alignment vertical="top"/>
    </xf>
    <xf numFmtId="0" fontId="36" fillId="0" borderId="9" xfId="0" applyFont="1" applyFill="1" applyBorder="1" applyAlignment="1">
      <alignment vertical="top" wrapText="1"/>
    </xf>
    <xf numFmtId="43" fontId="39" fillId="0" borderId="9" xfId="0" applyNumberFormat="1" applyFont="1" applyFill="1" applyBorder="1" applyAlignment="1">
      <alignment vertical="top"/>
    </xf>
    <xf numFmtId="187" fontId="36" fillId="0" borderId="112" xfId="50" applyFont="1" applyFill="1" applyBorder="1" applyAlignment="1">
      <alignment vertical="top"/>
    </xf>
    <xf numFmtId="187" fontId="36" fillId="0" borderId="10" xfId="50" applyFont="1" applyFill="1" applyBorder="1" applyAlignment="1">
      <alignment vertical="top"/>
    </xf>
    <xf numFmtId="0" fontId="36" fillId="0" borderId="13" xfId="0" applyFont="1" applyFill="1" applyBorder="1" applyAlignment="1">
      <alignment vertical="top" wrapText="1"/>
    </xf>
    <xf numFmtId="0" fontId="36" fillId="0" borderId="18" xfId="0" applyFont="1" applyFill="1" applyBorder="1"/>
    <xf numFmtId="43" fontId="39" fillId="0" borderId="18" xfId="0" applyNumberFormat="1" applyFont="1" applyFill="1" applyBorder="1" applyAlignment="1">
      <alignment vertical="top"/>
    </xf>
    <xf numFmtId="0" fontId="39" fillId="0" borderId="20" xfId="0" applyFont="1" applyFill="1" applyBorder="1" applyAlignment="1">
      <alignment vertical="top"/>
    </xf>
    <xf numFmtId="0" fontId="36" fillId="5" borderId="6" xfId="0" applyFont="1" applyFill="1" applyBorder="1" applyAlignment="1">
      <alignment vertical="top" wrapText="1"/>
    </xf>
    <xf numFmtId="188" fontId="36" fillId="5" borderId="6" xfId="50" applyNumberFormat="1" applyFont="1" applyFill="1" applyBorder="1" applyAlignment="1">
      <alignment horizontal="center" vertical="top"/>
    </xf>
    <xf numFmtId="0" fontId="36" fillId="5" borderId="6" xfId="0" applyFont="1" applyFill="1" applyBorder="1" applyAlignment="1">
      <alignment horizontal="center" vertical="top" shrinkToFit="1"/>
    </xf>
    <xf numFmtId="43" fontId="39" fillId="5" borderId="7" xfId="0" applyNumberFormat="1" applyFont="1" applyFill="1" applyBorder="1" applyAlignment="1">
      <alignment vertical="top"/>
    </xf>
    <xf numFmtId="0" fontId="36" fillId="0" borderId="52" xfId="0" applyFont="1" applyFill="1" applyBorder="1" applyAlignment="1">
      <alignment horizontal="center" wrapText="1"/>
    </xf>
    <xf numFmtId="0" fontId="36" fillId="0" borderId="21" xfId="0" applyFont="1" applyFill="1" applyBorder="1" applyAlignment="1">
      <alignment wrapText="1"/>
    </xf>
    <xf numFmtId="187" fontId="39" fillId="0" borderId="21" xfId="50" applyFont="1" applyFill="1" applyBorder="1" applyAlignment="1">
      <alignment vertical="top"/>
    </xf>
    <xf numFmtId="188" fontId="36" fillId="0" borderId="21" xfId="50" applyNumberFormat="1" applyFont="1" applyFill="1" applyBorder="1" applyAlignment="1">
      <alignment vertical="top"/>
    </xf>
    <xf numFmtId="188" fontId="36" fillId="0" borderId="21" xfId="50" applyNumberFormat="1" applyFont="1" applyFill="1" applyBorder="1" applyAlignment="1">
      <alignment horizontal="center" vertical="top"/>
    </xf>
    <xf numFmtId="43" fontId="39" fillId="0" borderId="21" xfId="0" applyNumberFormat="1" applyFont="1" applyFill="1" applyBorder="1" applyAlignment="1">
      <alignment vertical="top"/>
    </xf>
    <xf numFmtId="0" fontId="39" fillId="5" borderId="20" xfId="0" applyFont="1" applyFill="1" applyBorder="1" applyAlignment="1">
      <alignment horizontal="left" vertical="top"/>
    </xf>
    <xf numFmtId="187" fontId="39" fillId="5" borderId="6" xfId="0" applyNumberFormat="1" applyFont="1" applyFill="1" applyBorder="1" applyAlignment="1">
      <alignment horizontal="center" vertical="top" shrinkToFit="1"/>
    </xf>
    <xf numFmtId="0" fontId="36" fillId="0" borderId="17" xfId="0" applyFont="1" applyFill="1" applyBorder="1" applyAlignment="1">
      <alignment vertical="top"/>
    </xf>
    <xf numFmtId="0" fontId="36" fillId="0" borderId="18" xfId="0" applyFont="1" applyFill="1" applyBorder="1" applyAlignment="1">
      <alignment vertical="top" wrapText="1"/>
    </xf>
    <xf numFmtId="43" fontId="36" fillId="0" borderId="18" xfId="0" applyNumberFormat="1" applyFont="1" applyFill="1" applyBorder="1" applyAlignment="1">
      <alignment vertical="top"/>
    </xf>
    <xf numFmtId="43" fontId="36" fillId="0" borderId="19" xfId="0" applyNumberFormat="1" applyFont="1" applyFill="1" applyBorder="1" applyAlignment="1">
      <alignment vertical="top"/>
    </xf>
    <xf numFmtId="0" fontId="39" fillId="5" borderId="6" xfId="0" applyNumberFormat="1" applyFont="1" applyFill="1" applyBorder="1" applyAlignment="1">
      <alignment vertical="top"/>
    </xf>
    <xf numFmtId="187" fontId="39" fillId="5" borderId="7" xfId="0" applyNumberFormat="1" applyFont="1" applyFill="1" applyBorder="1" applyAlignment="1">
      <alignment vertical="top"/>
    </xf>
    <xf numFmtId="0" fontId="36" fillId="0" borderId="93" xfId="0" applyFont="1" applyFill="1" applyBorder="1" applyAlignment="1">
      <alignment vertical="top" wrapText="1"/>
    </xf>
    <xf numFmtId="0" fontId="36" fillId="0" borderId="18" xfId="0" applyFont="1" applyFill="1" applyBorder="1" applyAlignment="1">
      <alignment wrapText="1" shrinkToFit="1"/>
    </xf>
    <xf numFmtId="0" fontId="39" fillId="5" borderId="20" xfId="0" applyFont="1" applyFill="1" applyBorder="1" applyAlignment="1">
      <alignment horizontal="center" vertical="top"/>
    </xf>
    <xf numFmtId="187" fontId="36" fillId="0" borderId="9" xfId="50" applyNumberFormat="1" applyFont="1" applyFill="1" applyBorder="1" applyAlignment="1">
      <alignment horizontal="center" vertical="top"/>
    </xf>
    <xf numFmtId="0" fontId="36" fillId="0" borderId="13" xfId="0" applyFont="1" applyFill="1" applyBorder="1" applyAlignment="1">
      <alignment wrapText="1"/>
    </xf>
    <xf numFmtId="187" fontId="36" fillId="5" borderId="6" xfId="0" applyNumberFormat="1" applyFont="1" applyFill="1" applyBorder="1" applyAlignment="1">
      <alignment horizontal="center" vertical="top" shrinkToFit="1"/>
    </xf>
    <xf numFmtId="43" fontId="39" fillId="5" borderId="87" xfId="0" applyNumberFormat="1" applyFont="1" applyFill="1" applyBorder="1" applyAlignment="1">
      <alignment vertical="top"/>
    </xf>
    <xf numFmtId="0" fontId="39" fillId="5" borderId="64" xfId="0" applyFont="1" applyFill="1" applyBorder="1" applyAlignment="1">
      <alignment vertical="top"/>
    </xf>
    <xf numFmtId="0" fontId="39" fillId="5" borderId="25" xfId="0" applyFont="1" applyFill="1" applyBorder="1" applyAlignment="1">
      <alignment vertical="top" wrapText="1"/>
    </xf>
    <xf numFmtId="187" fontId="39" fillId="5" borderId="25" xfId="50" applyFont="1" applyFill="1" applyBorder="1" applyAlignment="1">
      <alignment vertical="top"/>
    </xf>
    <xf numFmtId="188" fontId="39" fillId="5" borderId="25" xfId="50" applyNumberFormat="1" applyFont="1" applyFill="1" applyBorder="1" applyAlignment="1">
      <alignment horizontal="center" vertical="top"/>
    </xf>
    <xf numFmtId="187" fontId="39" fillId="5" borderId="25" xfId="0" applyNumberFormat="1" applyFont="1" applyFill="1" applyBorder="1" applyAlignment="1">
      <alignment horizontal="center" vertical="top" shrinkToFit="1"/>
    </xf>
    <xf numFmtId="43" fontId="39" fillId="5" borderId="25" xfId="0" applyNumberFormat="1" applyFont="1" applyFill="1" applyBorder="1" applyAlignment="1">
      <alignment vertical="top"/>
    </xf>
    <xf numFmtId="187" fontId="39" fillId="0" borderId="0" xfId="0" applyNumberFormat="1" applyFont="1" applyFill="1" applyAlignment="1">
      <alignment vertical="top"/>
    </xf>
    <xf numFmtId="187" fontId="36" fillId="0" borderId="0" xfId="50" applyFont="1" applyFill="1" applyBorder="1" applyAlignment="1">
      <alignment vertical="top" wrapText="1"/>
    </xf>
    <xf numFmtId="0" fontId="36" fillId="0" borderId="0" xfId="0" applyFont="1" applyFill="1" applyAlignment="1">
      <alignment horizontal="center" vertical="top"/>
    </xf>
    <xf numFmtId="187" fontId="36" fillId="0" borderId="0" xfId="0" applyNumberFormat="1" applyFont="1" applyFill="1" applyAlignment="1">
      <alignment horizontal="center" vertical="top" shrinkToFit="1"/>
    </xf>
    <xf numFmtId="187" fontId="36" fillId="0" borderId="0" xfId="0" applyNumberFormat="1" applyFont="1" applyFill="1" applyAlignment="1">
      <alignment vertical="top"/>
    </xf>
    <xf numFmtId="43" fontId="36" fillId="0" borderId="0" xfId="0" applyNumberFormat="1" applyFont="1" applyFill="1" applyAlignment="1">
      <alignment vertical="top"/>
    </xf>
    <xf numFmtId="0" fontId="36" fillId="0" borderId="0" xfId="0" applyFont="1" applyFill="1" applyAlignment="1">
      <alignment horizontal="center" vertical="top" shrinkToFit="1"/>
    </xf>
    <xf numFmtId="0" fontId="36" fillId="0" borderId="0" xfId="0" applyFont="1" applyFill="1" applyAlignment="1">
      <alignment vertical="top" wrapText="1"/>
    </xf>
    <xf numFmtId="0" fontId="38" fillId="0" borderId="114" xfId="0" applyFont="1" applyFill="1" applyBorder="1" applyAlignment="1">
      <alignment horizontal="center"/>
    </xf>
    <xf numFmtId="0" fontId="31" fillId="0" borderId="0" xfId="0" applyFont="1" applyFill="1"/>
    <xf numFmtId="0" fontId="28" fillId="0" borderId="83" xfId="0" applyFont="1" applyFill="1" applyBorder="1" applyAlignment="1">
      <alignment horizontal="center" vertical="center" wrapText="1"/>
    </xf>
    <xf numFmtId="188" fontId="39" fillId="0" borderId="6" xfId="50" applyNumberFormat="1" applyFont="1" applyFill="1" applyBorder="1" applyAlignment="1">
      <alignment horizontal="center" vertical="top"/>
    </xf>
    <xf numFmtId="188" fontId="36" fillId="0" borderId="27" xfId="50" applyNumberFormat="1" applyFont="1" applyFill="1" applyBorder="1" applyAlignment="1">
      <alignment horizontal="center" vertical="top"/>
    </xf>
    <xf numFmtId="0" fontId="36" fillId="0" borderId="68" xfId="0" applyFont="1" applyFill="1" applyBorder="1" applyAlignment="1">
      <alignment vertical="top"/>
    </xf>
    <xf numFmtId="188" fontId="36" fillId="0" borderId="81" xfId="50" applyNumberFormat="1" applyFont="1" applyFill="1" applyBorder="1" applyAlignment="1">
      <alignment horizontal="center" vertical="top"/>
    </xf>
    <xf numFmtId="0" fontId="39" fillId="0" borderId="45" xfId="0" applyFont="1" applyFill="1" applyBorder="1" applyAlignment="1">
      <alignment vertical="top"/>
    </xf>
    <xf numFmtId="187" fontId="39" fillId="0" borderId="79" xfId="50" applyFont="1" applyFill="1" applyBorder="1" applyAlignment="1">
      <alignment vertical="top"/>
    </xf>
    <xf numFmtId="0" fontId="36" fillId="0" borderId="90" xfId="0" applyFont="1" applyFill="1" applyBorder="1" applyAlignment="1">
      <alignment vertical="top" wrapText="1"/>
    </xf>
    <xf numFmtId="0" fontId="36" fillId="0" borderId="123" xfId="0" applyFont="1" applyFill="1" applyBorder="1" applyAlignment="1">
      <alignment vertical="top" wrapText="1"/>
    </xf>
    <xf numFmtId="187" fontId="36" fillId="0" borderId="93" xfId="50" applyFont="1" applyFill="1" applyBorder="1" applyAlignment="1">
      <alignment vertical="top"/>
    </xf>
    <xf numFmtId="187" fontId="39" fillId="0" borderId="93" xfId="50" applyFont="1" applyFill="1" applyBorder="1" applyAlignment="1">
      <alignment vertical="top"/>
    </xf>
    <xf numFmtId="188" fontId="36" fillId="0" borderId="93" xfId="50" applyNumberFormat="1" applyFont="1" applyFill="1" applyBorder="1" applyAlignment="1">
      <alignment vertical="top"/>
    </xf>
    <xf numFmtId="187" fontId="39" fillId="0" borderId="91" xfId="50" applyFont="1" applyFill="1" applyBorder="1" applyAlignment="1">
      <alignment vertical="top"/>
    </xf>
    <xf numFmtId="191" fontId="36" fillId="0" borderId="92" xfId="50" applyNumberFormat="1" applyFont="1" applyFill="1" applyBorder="1" applyAlignment="1">
      <alignment vertical="top" shrinkToFit="1"/>
    </xf>
    <xf numFmtId="191" fontId="36" fillId="0" borderId="93" xfId="50" applyNumberFormat="1" applyFont="1" applyFill="1" applyBorder="1" applyAlignment="1">
      <alignment vertical="top" shrinkToFit="1"/>
    </xf>
    <xf numFmtId="0" fontId="36" fillId="0" borderId="54" xfId="0" applyFont="1" applyFill="1" applyBorder="1" applyAlignment="1">
      <alignment vertical="top"/>
    </xf>
    <xf numFmtId="0" fontId="36" fillId="0" borderId="70" xfId="0" applyFont="1" applyFill="1" applyBorder="1" applyAlignment="1">
      <alignment vertical="top"/>
    </xf>
    <xf numFmtId="0" fontId="36" fillId="0" borderId="71" xfId="0" applyFont="1" applyFill="1" applyBorder="1" applyAlignment="1">
      <alignment vertical="top" wrapText="1"/>
    </xf>
    <xf numFmtId="187" fontId="36" fillId="0" borderId="21" xfId="50" applyFont="1" applyFill="1" applyBorder="1" applyAlignment="1">
      <alignment vertical="top"/>
    </xf>
    <xf numFmtId="187" fontId="39" fillId="0" borderId="22" xfId="50" applyFont="1" applyFill="1" applyBorder="1" applyAlignment="1">
      <alignment vertical="top"/>
    </xf>
    <xf numFmtId="191" fontId="36" fillId="0" borderId="52" xfId="50" applyNumberFormat="1" applyFont="1" applyFill="1" applyBorder="1" applyAlignment="1">
      <alignment vertical="top" shrinkToFit="1"/>
    </xf>
    <xf numFmtId="191" fontId="36" fillId="0" borderId="21" xfId="50" applyNumberFormat="1" applyFont="1" applyFill="1" applyBorder="1" applyAlignment="1">
      <alignment vertical="top" shrinkToFit="1"/>
    </xf>
    <xf numFmtId="0" fontId="36" fillId="0" borderId="55" xfId="0" applyFont="1" applyFill="1" applyBorder="1" applyAlignment="1">
      <alignment vertical="top" wrapText="1"/>
    </xf>
    <xf numFmtId="187" fontId="47" fillId="0" borderId="0" xfId="50" applyFont="1" applyFill="1"/>
    <xf numFmtId="187" fontId="48" fillId="0" borderId="0" xfId="50" applyFont="1" applyFill="1"/>
    <xf numFmtId="187" fontId="47" fillId="0" borderId="0" xfId="50" applyFont="1" applyFill="1" applyAlignment="1">
      <alignment horizontal="center"/>
    </xf>
    <xf numFmtId="187" fontId="39" fillId="0" borderId="125" xfId="50" applyFont="1" applyFill="1" applyBorder="1" applyAlignment="1">
      <alignment horizontal="center" vertical="center"/>
    </xf>
    <xf numFmtId="187" fontId="39" fillId="0" borderId="77" xfId="50" applyFont="1" applyFill="1" applyBorder="1" applyAlignment="1">
      <alignment horizontal="center" vertical="center" wrapText="1"/>
    </xf>
    <xf numFmtId="187" fontId="39" fillId="0" borderId="31" xfId="50" applyFont="1" applyFill="1" applyBorder="1" applyAlignment="1">
      <alignment horizontal="center" vertical="center" wrapText="1"/>
    </xf>
    <xf numFmtId="0" fontId="39" fillId="0" borderId="38" xfId="0" applyFont="1" applyFill="1" applyBorder="1" applyAlignment="1">
      <alignment vertical="center"/>
    </xf>
    <xf numFmtId="187" fontId="36" fillId="0" borderId="125" xfId="50" applyFont="1" applyFill="1" applyBorder="1" applyAlignment="1">
      <alignment vertical="center"/>
    </xf>
    <xf numFmtId="187" fontId="36" fillId="0" borderId="40" xfId="50" applyFont="1" applyFill="1" applyBorder="1" applyAlignment="1">
      <alignment vertical="center"/>
    </xf>
    <xf numFmtId="187" fontId="36" fillId="0" borderId="11" xfId="50" applyFont="1" applyFill="1" applyBorder="1" applyAlignment="1">
      <alignment vertical="center"/>
    </xf>
    <xf numFmtId="187" fontId="36" fillId="0" borderId="44" xfId="50" applyFont="1" applyFill="1" applyBorder="1" applyAlignment="1">
      <alignment vertical="center"/>
    </xf>
    <xf numFmtId="187" fontId="39" fillId="0" borderId="41" xfId="50" applyFont="1" applyFill="1" applyBorder="1" applyAlignment="1">
      <alignment vertical="center"/>
    </xf>
    <xf numFmtId="187" fontId="36" fillId="0" borderId="41" xfId="50" applyFont="1" applyFill="1" applyBorder="1" applyAlignment="1">
      <alignment vertical="center"/>
    </xf>
    <xf numFmtId="0" fontId="36" fillId="0" borderId="37" xfId="0" applyFont="1" applyFill="1" applyBorder="1"/>
    <xf numFmtId="187" fontId="36" fillId="0" borderId="125" xfId="50" applyFont="1" applyFill="1" applyBorder="1" applyAlignment="1">
      <alignment vertical="top"/>
    </xf>
    <xf numFmtId="187" fontId="36" fillId="0" borderId="38" xfId="50" applyFont="1" applyFill="1" applyBorder="1" applyAlignment="1">
      <alignment vertical="top"/>
    </xf>
    <xf numFmtId="187" fontId="39" fillId="0" borderId="42" xfId="50" applyFont="1" applyFill="1" applyBorder="1" applyAlignment="1">
      <alignment vertical="top"/>
    </xf>
    <xf numFmtId="0" fontId="39" fillId="0" borderId="37" xfId="0" applyFont="1" applyFill="1" applyBorder="1"/>
    <xf numFmtId="187" fontId="36" fillId="0" borderId="44" xfId="50" applyFont="1" applyFill="1" applyBorder="1" applyAlignment="1">
      <alignment vertical="top"/>
    </xf>
    <xf numFmtId="0" fontId="49" fillId="0" borderId="0" xfId="0" applyFont="1" applyFill="1"/>
    <xf numFmtId="43" fontId="49" fillId="0" borderId="0" xfId="0" applyNumberFormat="1" applyFont="1" applyFill="1"/>
    <xf numFmtId="0" fontId="39" fillId="8" borderId="45" xfId="0" applyFont="1" applyFill="1" applyBorder="1"/>
    <xf numFmtId="0" fontId="39" fillId="8" borderId="49" xfId="0" applyFont="1" applyFill="1" applyBorder="1"/>
    <xf numFmtId="187" fontId="39" fillId="8" borderId="47" xfId="50" applyFont="1" applyFill="1" applyBorder="1"/>
    <xf numFmtId="187" fontId="39" fillId="8" borderId="48" xfId="50" applyFont="1" applyFill="1" applyBorder="1"/>
    <xf numFmtId="43" fontId="39" fillId="8" borderId="49" xfId="0" applyNumberFormat="1" applyFont="1" applyFill="1" applyBorder="1"/>
    <xf numFmtId="187" fontId="39" fillId="8" borderId="101" xfId="50" applyFont="1" applyFill="1" applyBorder="1"/>
    <xf numFmtId="43" fontId="39" fillId="0" borderId="0" xfId="0" applyNumberFormat="1" applyFont="1" applyFill="1" applyBorder="1"/>
    <xf numFmtId="0" fontId="36" fillId="0" borderId="126" xfId="0" applyFont="1" applyFill="1" applyBorder="1" applyAlignment="1">
      <alignment vertical="top" wrapText="1"/>
    </xf>
    <xf numFmtId="188" fontId="36" fillId="0" borderId="51" xfId="50" applyNumberFormat="1" applyFont="1" applyFill="1" applyBorder="1" applyAlignment="1">
      <alignment vertical="justify"/>
    </xf>
    <xf numFmtId="0" fontId="36" fillId="0" borderId="51" xfId="0" applyFont="1" applyFill="1" applyBorder="1" applyAlignment="1">
      <alignment horizontal="center" vertical="justify"/>
    </xf>
    <xf numFmtId="187" fontId="39" fillId="0" borderId="58" xfId="50" applyFont="1" applyFill="1" applyBorder="1" applyAlignment="1">
      <alignment vertical="top"/>
    </xf>
    <xf numFmtId="187" fontId="39" fillId="0" borderId="127" xfId="50" applyFont="1" applyFill="1" applyBorder="1"/>
    <xf numFmtId="187" fontId="39" fillId="0" borderId="32" xfId="50" applyFont="1" applyFill="1" applyBorder="1"/>
    <xf numFmtId="187" fontId="39" fillId="0" borderId="62" xfId="50" applyFont="1" applyFill="1" applyBorder="1"/>
    <xf numFmtId="0" fontId="19" fillId="7" borderId="23" xfId="0" applyFont="1" applyFill="1" applyBorder="1" applyAlignment="1">
      <alignment horizontal="left"/>
    </xf>
    <xf numFmtId="187" fontId="39" fillId="0" borderId="42" xfId="50" applyFont="1" applyFill="1" applyBorder="1" applyAlignment="1">
      <alignment horizontal="center" vertical="center" wrapText="1"/>
    </xf>
    <xf numFmtId="187" fontId="36" fillId="0" borderId="31" xfId="50" applyFont="1" applyFill="1" applyBorder="1" applyAlignment="1">
      <alignment horizontal="center" vertical="center" wrapText="1"/>
    </xf>
    <xf numFmtId="188" fontId="39" fillId="0" borderId="42" xfId="50" applyNumberFormat="1" applyFont="1" applyFill="1" applyBorder="1" applyAlignment="1">
      <alignment vertical="center" wrapText="1"/>
    </xf>
    <xf numFmtId="188" fontId="39" fillId="0" borderId="77" xfId="50" applyNumberFormat="1" applyFont="1" applyFill="1" applyBorder="1" applyAlignment="1">
      <alignment vertical="center" wrapText="1"/>
    </xf>
    <xf numFmtId="188" fontId="39" fillId="0" borderId="31" xfId="50" applyNumberFormat="1" applyFont="1" applyFill="1" applyBorder="1" applyAlignment="1">
      <alignment vertical="center" wrapText="1"/>
    </xf>
    <xf numFmtId="0" fontId="39" fillId="0" borderId="125" xfId="0" applyFont="1" applyFill="1" applyBorder="1" applyAlignment="1">
      <alignment vertical="center"/>
    </xf>
    <xf numFmtId="0" fontId="36" fillId="0" borderId="125" xfId="0" applyFont="1" applyFill="1" applyBorder="1"/>
    <xf numFmtId="0" fontId="39" fillId="0" borderId="125" xfId="0" applyFont="1" applyFill="1" applyBorder="1"/>
    <xf numFmtId="187" fontId="39" fillId="0" borderId="127" xfId="50" applyFont="1" applyFill="1" applyBorder="1" applyAlignment="1">
      <alignment horizontal="center"/>
    </xf>
    <xf numFmtId="187" fontId="39" fillId="0" borderId="60" xfId="50" applyFont="1" applyFill="1" applyBorder="1" applyAlignment="1">
      <alignment vertical="top"/>
    </xf>
    <xf numFmtId="187" fontId="39" fillId="0" borderId="115" xfId="50" applyFont="1" applyFill="1" applyBorder="1" applyAlignment="1">
      <alignment vertical="top"/>
    </xf>
    <xf numFmtId="187" fontId="36" fillId="0" borderId="29" xfId="50" applyFont="1" applyFill="1" applyBorder="1" applyAlignment="1">
      <alignment horizontal="center" vertical="center" wrapText="1"/>
    </xf>
    <xf numFmtId="187" fontId="36" fillId="0" borderId="125" xfId="50" applyFont="1" applyFill="1" applyBorder="1" applyAlignment="1">
      <alignment horizontal="center" vertical="center" wrapText="1"/>
    </xf>
    <xf numFmtId="0" fontId="50" fillId="0" borderId="0" xfId="0" applyFont="1" applyFill="1"/>
    <xf numFmtId="0" fontId="51" fillId="0" borderId="0" xfId="0" applyFont="1" applyFill="1" applyAlignment="1">
      <alignment horizontal="center"/>
    </xf>
    <xf numFmtId="188" fontId="51" fillId="0" borderId="0" xfId="50" applyNumberFormat="1" applyFont="1" applyFill="1" applyAlignment="1">
      <alignment horizontal="center"/>
    </xf>
    <xf numFmtId="0" fontId="52" fillId="0" borderId="0" xfId="0" applyFont="1" applyFill="1"/>
    <xf numFmtId="187" fontId="52" fillId="0" borderId="0" xfId="50" applyFont="1" applyFill="1"/>
    <xf numFmtId="187" fontId="52" fillId="0" borderId="0" xfId="0" applyNumberFormat="1" applyFont="1" applyFill="1"/>
    <xf numFmtId="0" fontId="51" fillId="0" borderId="0" xfId="0" applyFont="1" applyFill="1" applyBorder="1"/>
    <xf numFmtId="0" fontId="51" fillId="0" borderId="0" xfId="0" applyFont="1" applyFill="1" applyBorder="1" applyAlignment="1">
      <alignment horizontal="center"/>
    </xf>
    <xf numFmtId="188" fontId="51" fillId="0" borderId="0" xfId="50" applyNumberFormat="1" applyFont="1" applyFill="1" applyBorder="1"/>
    <xf numFmtId="187" fontId="52" fillId="0" borderId="0" xfId="50" applyFont="1" applyFill="1" applyBorder="1"/>
    <xf numFmtId="43" fontId="51" fillId="0" borderId="0" xfId="0" applyNumberFormat="1" applyFont="1" applyFill="1"/>
    <xf numFmtId="187" fontId="51" fillId="0" borderId="0" xfId="50" applyFont="1" applyFill="1" applyBorder="1"/>
    <xf numFmtId="187" fontId="51" fillId="0" borderId="0" xfId="50" applyFont="1" applyFill="1"/>
    <xf numFmtId="0" fontId="51" fillId="0" borderId="0" xfId="0" applyFont="1" applyFill="1"/>
    <xf numFmtId="187" fontId="51" fillId="0" borderId="0" xfId="0" applyNumberFormat="1" applyFont="1" applyFill="1" applyBorder="1"/>
    <xf numFmtId="4" fontId="51" fillId="0" borderId="0" xfId="0" applyNumberFormat="1" applyFont="1" applyFill="1"/>
    <xf numFmtId="0" fontId="52" fillId="0" borderId="0" xfId="0" applyFont="1" applyFill="1" applyBorder="1" applyAlignment="1">
      <alignment horizontal="left" indent="2"/>
    </xf>
    <xf numFmtId="0" fontId="52" fillId="0" borderId="0" xfId="0" applyFont="1" applyFill="1" applyBorder="1" applyAlignment="1">
      <alignment horizontal="center"/>
    </xf>
    <xf numFmtId="43" fontId="52" fillId="0" borderId="0" xfId="0" applyNumberFormat="1" applyFont="1" applyFill="1" applyBorder="1"/>
    <xf numFmtId="0" fontId="52" fillId="0" borderId="0" xfId="0" applyFont="1" applyFill="1" applyBorder="1"/>
    <xf numFmtId="187" fontId="52" fillId="0" borderId="0" xfId="50" applyFont="1" applyFill="1" applyBorder="1" applyAlignment="1"/>
    <xf numFmtId="187" fontId="52" fillId="0" borderId="0" xfId="50" applyFont="1" applyFill="1" applyBorder="1" applyAlignment="1">
      <alignment wrapText="1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wrapText="1"/>
    </xf>
    <xf numFmtId="43" fontId="52" fillId="0" borderId="0" xfId="50" applyNumberFormat="1" applyFont="1" applyFill="1" applyAlignment="1"/>
    <xf numFmtId="43" fontId="52" fillId="0" borderId="0" xfId="50" applyNumberFormat="1" applyFont="1" applyFill="1"/>
    <xf numFmtId="43" fontId="52" fillId="0" borderId="0" xfId="0" applyNumberFormat="1" applyFont="1" applyFill="1"/>
    <xf numFmtId="43" fontId="52" fillId="0" borderId="50" xfId="0" applyNumberFormat="1" applyFont="1" applyFill="1" applyBorder="1"/>
    <xf numFmtId="187" fontId="39" fillId="0" borderId="99" xfId="50" applyFont="1" applyFill="1" applyBorder="1" applyAlignment="1">
      <alignment vertical="top"/>
    </xf>
    <xf numFmtId="187" fontId="39" fillId="0" borderId="129" xfId="50" applyFont="1" applyFill="1" applyBorder="1"/>
    <xf numFmtId="187" fontId="39" fillId="0" borderId="116" xfId="50" applyFont="1" applyFill="1" applyBorder="1" applyAlignment="1">
      <alignment horizontal="center"/>
    </xf>
    <xf numFmtId="187" fontId="39" fillId="0" borderId="59" xfId="50" applyFont="1" applyFill="1" applyBorder="1" applyAlignment="1">
      <alignment vertical="top"/>
    </xf>
    <xf numFmtId="0" fontId="36" fillId="0" borderId="37" xfId="0" applyFont="1" applyFill="1" applyBorder="1" applyAlignment="1">
      <alignment shrinkToFit="1"/>
    </xf>
    <xf numFmtId="0" fontId="36" fillId="0" borderId="125" xfId="0" applyFont="1" applyFill="1" applyBorder="1" applyAlignment="1">
      <alignment shrinkToFit="1"/>
    </xf>
    <xf numFmtId="0" fontId="23" fillId="0" borderId="37" xfId="0" applyFont="1" applyFill="1" applyBorder="1" applyAlignment="1">
      <alignment vertical="top"/>
    </xf>
    <xf numFmtId="0" fontId="19" fillId="0" borderId="37" xfId="0" applyFont="1" applyFill="1" applyBorder="1" applyAlignment="1">
      <alignment vertical="top"/>
    </xf>
    <xf numFmtId="0" fontId="36" fillId="0" borderId="78" xfId="0" applyFont="1" applyFill="1" applyBorder="1" applyAlignment="1">
      <alignment vertical="top" wrapText="1"/>
    </xf>
    <xf numFmtId="188" fontId="19" fillId="0" borderId="56" xfId="50" applyNumberFormat="1" applyFont="1" applyFill="1" applyBorder="1" applyAlignment="1">
      <alignment horizontal="left" vertical="top"/>
    </xf>
    <xf numFmtId="0" fontId="20" fillId="0" borderId="125" xfId="0" applyFont="1" applyFill="1" applyBorder="1" applyAlignment="1">
      <alignment horizontal="center" vertical="top"/>
    </xf>
    <xf numFmtId="0" fontId="18" fillId="0" borderId="120" xfId="0" applyFont="1" applyFill="1" applyBorder="1" applyAlignment="1">
      <alignment horizontal="center" vertical="top"/>
    </xf>
    <xf numFmtId="0" fontId="18" fillId="0" borderId="130" xfId="0" applyFont="1" applyFill="1" applyBorder="1" applyAlignment="1">
      <alignment vertical="top" wrapText="1"/>
    </xf>
    <xf numFmtId="0" fontId="36" fillId="0" borderId="80" xfId="0" applyFont="1" applyFill="1" applyBorder="1" applyAlignment="1">
      <alignment vertical="top"/>
    </xf>
    <xf numFmtId="0" fontId="36" fillId="0" borderId="92" xfId="0" applyFont="1" applyFill="1" applyBorder="1" applyAlignment="1">
      <alignment vertical="top" wrapText="1"/>
    </xf>
    <xf numFmtId="187" fontId="39" fillId="0" borderId="93" xfId="50" applyNumberFormat="1" applyFont="1" applyFill="1" applyBorder="1" applyAlignment="1">
      <alignment vertical="top"/>
    </xf>
    <xf numFmtId="0" fontId="36" fillId="0" borderId="21" xfId="0" applyFont="1" applyFill="1" applyBorder="1" applyAlignment="1">
      <alignment vertical="top" wrapText="1"/>
    </xf>
    <xf numFmtId="0" fontId="36" fillId="0" borderId="13" xfId="35" applyFont="1" applyFill="1" applyBorder="1" applyAlignment="1">
      <alignment horizontal="left" vertical="center" wrapText="1"/>
    </xf>
    <xf numFmtId="188" fontId="36" fillId="0" borderId="13" xfId="51" applyNumberFormat="1" applyFont="1" applyFill="1" applyBorder="1" applyAlignment="1">
      <alignment horizontal="center" vertical="top"/>
    </xf>
    <xf numFmtId="187" fontId="53" fillId="0" borderId="0" xfId="50" applyFont="1"/>
    <xf numFmtId="0" fontId="53" fillId="0" borderId="0" xfId="0" applyFont="1"/>
    <xf numFmtId="0" fontId="39" fillId="0" borderId="126" xfId="0" applyFont="1" applyBorder="1" applyAlignment="1">
      <alignment horizontal="left" vertical="top" wrapText="1"/>
    </xf>
    <xf numFmtId="0" fontId="54" fillId="0" borderId="125" xfId="0" applyFont="1" applyBorder="1" applyAlignment="1">
      <alignment horizontal="center" vertical="top"/>
    </xf>
    <xf numFmtId="0" fontId="36" fillId="0" borderId="0" xfId="0" applyFont="1"/>
    <xf numFmtId="0" fontId="39" fillId="0" borderId="27" xfId="0" applyFont="1" applyFill="1" applyBorder="1" applyAlignment="1">
      <alignment horizontal="center" vertical="center" shrinkToFit="1"/>
    </xf>
    <xf numFmtId="187" fontId="36" fillId="0" borderId="93" xfId="50" applyFont="1" applyFill="1" applyBorder="1" applyAlignment="1">
      <alignment horizontal="center" vertical="top"/>
    </xf>
    <xf numFmtId="187" fontId="36" fillId="0" borderId="21" xfId="50" applyFont="1" applyFill="1" applyBorder="1" applyAlignment="1">
      <alignment horizontal="center" vertical="top"/>
    </xf>
    <xf numFmtId="187" fontId="36" fillId="0" borderId="35" xfId="50" applyFont="1" applyFill="1" applyBorder="1" applyAlignment="1">
      <alignment horizontal="center" vertical="top"/>
    </xf>
    <xf numFmtId="0" fontId="36" fillId="0" borderId="17" xfId="0" applyFont="1" applyFill="1" applyBorder="1"/>
    <xf numFmtId="43" fontId="39" fillId="5" borderId="26" xfId="0" applyNumberFormat="1" applyFont="1" applyFill="1" applyBorder="1" applyAlignment="1">
      <alignment vertical="top"/>
    </xf>
    <xf numFmtId="187" fontId="39" fillId="8" borderId="21" xfId="50" applyFont="1" applyFill="1" applyBorder="1" applyAlignment="1">
      <alignment vertical="top"/>
    </xf>
    <xf numFmtId="188" fontId="39" fillId="8" borderId="21" xfId="50" applyNumberFormat="1" applyFont="1" applyFill="1" applyBorder="1" applyAlignment="1">
      <alignment horizontal="center" vertical="top"/>
    </xf>
    <xf numFmtId="0" fontId="39" fillId="8" borderId="21" xfId="0" applyFont="1" applyFill="1" applyBorder="1" applyAlignment="1">
      <alignment horizontal="center" vertical="top" shrinkToFit="1"/>
    </xf>
    <xf numFmtId="43" fontId="39" fillId="8" borderId="21" xfId="0" applyNumberFormat="1" applyFont="1" applyFill="1" applyBorder="1" applyAlignment="1">
      <alignment vertical="top"/>
    </xf>
    <xf numFmtId="43" fontId="39" fillId="8" borderId="22" xfId="0" applyNumberFormat="1" applyFont="1" applyFill="1" applyBorder="1" applyAlignment="1">
      <alignment vertical="top"/>
    </xf>
    <xf numFmtId="187" fontId="36" fillId="0" borderId="113" xfId="50" applyFont="1" applyFill="1" applyBorder="1" applyAlignment="1">
      <alignment vertical="top"/>
    </xf>
    <xf numFmtId="187" fontId="36" fillId="0" borderId="19" xfId="50" applyFont="1" applyFill="1" applyBorder="1" applyAlignment="1">
      <alignment vertical="top"/>
    </xf>
    <xf numFmtId="0" fontId="20" fillId="0" borderId="58" xfId="0" applyFont="1" applyFill="1" applyBorder="1" applyAlignment="1">
      <alignment horizontal="center" vertical="top"/>
    </xf>
    <xf numFmtId="0" fontId="20" fillId="0" borderId="105" xfId="0" applyFont="1" applyFill="1" applyBorder="1" applyAlignment="1">
      <alignment horizontal="center" vertical="top"/>
    </xf>
    <xf numFmtId="0" fontId="20" fillId="0" borderId="86" xfId="0" applyFont="1" applyFill="1" applyBorder="1" applyAlignment="1">
      <alignment horizontal="left" vertical="top"/>
    </xf>
    <xf numFmtId="0" fontId="18" fillId="0" borderId="86" xfId="0" applyFont="1" applyFill="1" applyBorder="1" applyAlignment="1">
      <alignment vertical="top"/>
    </xf>
    <xf numFmtId="0" fontId="18" fillId="0" borderId="103" xfId="0" applyFont="1" applyFill="1" applyBorder="1" applyAlignment="1">
      <alignment vertical="top" wrapText="1"/>
    </xf>
    <xf numFmtId="0" fontId="18" fillId="0" borderId="102" xfId="0" applyFont="1" applyFill="1" applyBorder="1" applyAlignment="1">
      <alignment vertical="top" wrapText="1"/>
    </xf>
    <xf numFmtId="191" fontId="36" fillId="0" borderId="22" xfId="50" applyNumberFormat="1" applyFont="1" applyFill="1" applyBorder="1" applyAlignment="1">
      <alignment vertical="top" shrinkToFit="1"/>
    </xf>
    <xf numFmtId="0" fontId="18" fillId="0" borderId="58" xfId="0" applyFont="1" applyBorder="1" applyAlignment="1">
      <alignment vertical="top"/>
    </xf>
    <xf numFmtId="0" fontId="36" fillId="0" borderId="16" xfId="0" applyFont="1" applyFill="1" applyBorder="1" applyAlignment="1">
      <alignment horizontal="center" vertical="top" wrapText="1"/>
    </xf>
    <xf numFmtId="189" fontId="36" fillId="0" borderId="13" xfId="53" applyNumberFormat="1" applyFont="1" applyFill="1" applyBorder="1" applyAlignment="1">
      <alignment vertical="top"/>
    </xf>
    <xf numFmtId="0" fontId="55" fillId="0" borderId="12" xfId="0" applyFont="1" applyFill="1" applyBorder="1"/>
    <xf numFmtId="0" fontId="55" fillId="0" borderId="14" xfId="0" applyFont="1" applyFill="1" applyBorder="1"/>
    <xf numFmtId="0" fontId="19" fillId="0" borderId="36" xfId="0" applyFont="1" applyFill="1" applyBorder="1" applyAlignment="1">
      <alignment vertical="top"/>
    </xf>
    <xf numFmtId="187" fontId="19" fillId="0" borderId="131" xfId="50" applyFont="1" applyFill="1" applyBorder="1"/>
    <xf numFmtId="0" fontId="18" fillId="0" borderId="103" xfId="0" applyFont="1" applyFill="1" applyBorder="1" applyAlignment="1">
      <alignment vertical="top"/>
    </xf>
    <xf numFmtId="0" fontId="19" fillId="0" borderId="73" xfId="0" applyFont="1" applyFill="1" applyBorder="1" applyAlignment="1">
      <alignment horizontal="left" vertical="top"/>
    </xf>
    <xf numFmtId="0" fontId="39" fillId="0" borderId="126" xfId="0" applyFont="1" applyFill="1" applyBorder="1" applyAlignment="1">
      <alignment vertical="center"/>
    </xf>
    <xf numFmtId="0" fontId="36" fillId="0" borderId="128" xfId="0" applyNumberFormat="1" applyFont="1" applyFill="1" applyBorder="1" applyAlignment="1">
      <alignment vertical="top" wrapText="1"/>
    </xf>
    <xf numFmtId="0" fontId="54" fillId="0" borderId="37" xfId="0" applyFont="1" applyBorder="1" applyAlignment="1">
      <alignment horizontal="center" vertical="top"/>
    </xf>
    <xf numFmtId="0" fontId="39" fillId="0" borderId="36" xfId="0" applyFont="1" applyFill="1" applyBorder="1" applyAlignment="1">
      <alignment vertical="center"/>
    </xf>
    <xf numFmtId="0" fontId="39" fillId="0" borderId="36" xfId="0" applyFont="1" applyFill="1" applyBorder="1" applyAlignment="1">
      <alignment horizontal="left" vertical="top" wrapText="1"/>
    </xf>
    <xf numFmtId="0" fontId="24" fillId="0" borderId="125" xfId="0" applyNumberFormat="1" applyFont="1" applyFill="1" applyBorder="1" applyAlignment="1">
      <alignment vertical="top" wrapText="1"/>
    </xf>
    <xf numFmtId="0" fontId="55" fillId="0" borderId="36" xfId="0" applyFont="1" applyFill="1" applyBorder="1"/>
    <xf numFmtId="187" fontId="55" fillId="0" borderId="56" xfId="50" applyFont="1" applyFill="1" applyBorder="1"/>
    <xf numFmtId="187" fontId="55" fillId="0" borderId="51" xfId="50" applyNumberFormat="1" applyFont="1" applyFill="1" applyBorder="1" applyAlignment="1">
      <alignment vertical="top"/>
    </xf>
    <xf numFmtId="187" fontId="55" fillId="0" borderId="56" xfId="50" applyNumberFormat="1" applyFont="1" applyFill="1" applyBorder="1" applyAlignment="1">
      <alignment vertical="top"/>
    </xf>
    <xf numFmtId="187" fontId="55" fillId="0" borderId="88" xfId="50" applyNumberFormat="1" applyFont="1" applyFill="1" applyBorder="1" applyAlignment="1">
      <alignment vertical="top"/>
    </xf>
    <xf numFmtId="43" fontId="55" fillId="0" borderId="0" xfId="0" applyNumberFormat="1" applyFont="1" applyFill="1" applyBorder="1"/>
    <xf numFmtId="0" fontId="56" fillId="0" borderId="0" xfId="0" applyFont="1" applyFill="1" applyAlignment="1">
      <alignment vertical="top"/>
    </xf>
    <xf numFmtId="0" fontId="55" fillId="0" borderId="0" xfId="0" applyFont="1" applyFill="1"/>
    <xf numFmtId="43" fontId="55" fillId="0" borderId="0" xfId="0" applyNumberFormat="1" applyFont="1" applyFill="1"/>
    <xf numFmtId="187" fontId="55" fillId="0" borderId="13" xfId="50" applyNumberFormat="1" applyFont="1" applyFill="1" applyBorder="1" applyAlignment="1">
      <alignment vertical="top"/>
    </xf>
    <xf numFmtId="187" fontId="55" fillId="0" borderId="15" xfId="50" applyFont="1" applyFill="1" applyBorder="1"/>
    <xf numFmtId="187" fontId="55" fillId="0" borderId="15" xfId="50" applyNumberFormat="1" applyFont="1" applyFill="1" applyBorder="1" applyAlignment="1">
      <alignment vertical="top"/>
    </xf>
    <xf numFmtId="187" fontId="55" fillId="0" borderId="16" xfId="50" applyNumberFormat="1" applyFont="1" applyFill="1" applyBorder="1" applyAlignment="1">
      <alignment vertical="top"/>
    </xf>
    <xf numFmtId="187" fontId="55" fillId="0" borderId="0" xfId="50" applyFont="1" applyFill="1"/>
    <xf numFmtId="187" fontId="55" fillId="0" borderId="52" xfId="50" applyFont="1" applyFill="1" applyBorder="1"/>
    <xf numFmtId="0" fontId="55" fillId="0" borderId="0" xfId="0" applyFont="1" applyFill="1" applyBorder="1"/>
    <xf numFmtId="0" fontId="55" fillId="0" borderId="58" xfId="0" applyFont="1" applyFill="1" applyBorder="1"/>
    <xf numFmtId="0" fontId="55" fillId="0" borderId="22" xfId="0" applyFont="1" applyFill="1" applyBorder="1"/>
    <xf numFmtId="187" fontId="57" fillId="0" borderId="0" xfId="50" applyFont="1" applyFill="1" applyAlignment="1">
      <alignment vertical="top"/>
    </xf>
    <xf numFmtId="0" fontId="57" fillId="0" borderId="121" xfId="0" applyFont="1" applyFill="1" applyBorder="1" applyAlignment="1">
      <alignment vertical="top" wrapText="1"/>
    </xf>
    <xf numFmtId="187" fontId="59" fillId="0" borderId="12" xfId="50" applyFont="1" applyFill="1" applyBorder="1" applyAlignment="1">
      <alignment vertical="top"/>
    </xf>
    <xf numFmtId="187" fontId="59" fillId="0" borderId="13" xfId="50" applyFont="1" applyFill="1" applyBorder="1" applyAlignment="1">
      <alignment vertical="top"/>
    </xf>
    <xf numFmtId="187" fontId="59" fillId="0" borderId="75" xfId="50" applyFont="1" applyFill="1" applyBorder="1" applyAlignment="1">
      <alignment vertical="top"/>
    </xf>
    <xf numFmtId="187" fontId="58" fillId="0" borderId="13" xfId="50" applyFont="1" applyFill="1" applyBorder="1" applyAlignment="1">
      <alignment vertical="top"/>
    </xf>
    <xf numFmtId="188" fontId="59" fillId="0" borderId="13" xfId="50" applyNumberFormat="1" applyFont="1" applyFill="1" applyBorder="1" applyAlignment="1">
      <alignment vertical="top"/>
    </xf>
    <xf numFmtId="187" fontId="59" fillId="0" borderId="13" xfId="50" applyFont="1" applyFill="1" applyBorder="1" applyAlignment="1">
      <alignment horizontal="center" vertical="top"/>
    </xf>
    <xf numFmtId="187" fontId="58" fillId="0" borderId="14" xfId="50" applyFont="1" applyFill="1" applyBorder="1" applyAlignment="1">
      <alignment vertical="top"/>
    </xf>
    <xf numFmtId="187" fontId="57" fillId="0" borderId="12" xfId="50" applyFont="1" applyFill="1" applyBorder="1" applyAlignment="1">
      <alignment vertical="top"/>
    </xf>
    <xf numFmtId="187" fontId="57" fillId="0" borderId="13" xfId="50" applyFont="1" applyFill="1" applyBorder="1" applyAlignment="1">
      <alignment vertical="top"/>
    </xf>
    <xf numFmtId="187" fontId="57" fillId="0" borderId="75" xfId="50" applyFont="1" applyFill="1" applyBorder="1" applyAlignment="1">
      <alignment vertical="top"/>
    </xf>
    <xf numFmtId="188" fontId="57" fillId="0" borderId="13" xfId="50" applyNumberFormat="1" applyFont="1" applyFill="1" applyBorder="1" applyAlignment="1">
      <alignment vertical="top"/>
    </xf>
    <xf numFmtId="187" fontId="57" fillId="0" borderId="15" xfId="50" applyFont="1" applyFill="1" applyBorder="1" applyAlignment="1">
      <alignment vertical="top" shrinkToFit="1"/>
    </xf>
    <xf numFmtId="187" fontId="57" fillId="0" borderId="13" xfId="50" applyFont="1" applyFill="1" applyBorder="1" applyAlignment="1">
      <alignment vertical="top" shrinkToFit="1"/>
    </xf>
    <xf numFmtId="187" fontId="57" fillId="0" borderId="14" xfId="50" applyFont="1" applyFill="1" applyBorder="1" applyAlignment="1">
      <alignment vertical="top" shrinkToFit="1"/>
    </xf>
    <xf numFmtId="187" fontId="39" fillId="0" borderId="15" xfId="50" applyFont="1" applyFill="1" applyBorder="1" applyAlignment="1">
      <alignment vertical="top"/>
    </xf>
    <xf numFmtId="188" fontId="39" fillId="0" borderId="13" xfId="50" applyNumberFormat="1" applyFont="1" applyFill="1" applyBorder="1" applyAlignment="1">
      <alignment vertical="justify"/>
    </xf>
    <xf numFmtId="0" fontId="39" fillId="0" borderId="13" xfId="0" applyFont="1" applyFill="1" applyBorder="1" applyAlignment="1">
      <alignment horizontal="center" vertical="justify"/>
    </xf>
    <xf numFmtId="187" fontId="39" fillId="0" borderId="12" xfId="50" applyFont="1" applyFill="1" applyBorder="1" applyAlignment="1">
      <alignment vertical="top"/>
    </xf>
    <xf numFmtId="187" fontId="39" fillId="5" borderId="0" xfId="50" applyFont="1" applyFill="1" applyBorder="1"/>
    <xf numFmtId="43" fontId="39" fillId="5" borderId="0" xfId="0" applyNumberFormat="1" applyFont="1" applyFill="1" applyBorder="1"/>
    <xf numFmtId="187" fontId="55" fillId="5" borderId="14" xfId="50" applyNumberFormat="1" applyFont="1" applyFill="1" applyBorder="1" applyAlignment="1">
      <alignment vertical="top"/>
    </xf>
    <xf numFmtId="43" fontId="55" fillId="5" borderId="14" xfId="0" applyNumberFormat="1" applyFont="1" applyFill="1" applyBorder="1"/>
    <xf numFmtId="0" fontId="19" fillId="0" borderId="3" xfId="0" applyFont="1" applyFill="1" applyBorder="1" applyAlignment="1">
      <alignment vertical="top"/>
    </xf>
    <xf numFmtId="0" fontId="19" fillId="0" borderId="36" xfId="0" applyFont="1" applyFill="1" applyBorder="1" applyAlignment="1">
      <alignment horizontal="left" vertical="top"/>
    </xf>
    <xf numFmtId="0" fontId="18" fillId="0" borderId="51" xfId="0" applyFont="1" applyFill="1" applyBorder="1" applyAlignment="1">
      <alignment horizontal="center" vertical="top"/>
    </xf>
    <xf numFmtId="187" fontId="55" fillId="5" borderId="58" xfId="50" applyNumberFormat="1" applyFont="1" applyFill="1" applyBorder="1" applyAlignment="1">
      <alignment vertical="top"/>
    </xf>
    <xf numFmtId="43" fontId="55" fillId="5" borderId="58" xfId="0" applyNumberFormat="1" applyFont="1" applyFill="1" applyBorder="1"/>
    <xf numFmtId="0" fontId="39" fillId="0" borderId="126" xfId="0" applyFont="1" applyBorder="1" applyAlignment="1">
      <alignment vertical="top" wrapText="1"/>
    </xf>
    <xf numFmtId="0" fontId="24" fillId="0" borderId="130" xfId="0" applyFont="1" applyBorder="1" applyAlignment="1">
      <alignment vertical="top" wrapText="1"/>
    </xf>
    <xf numFmtId="0" fontId="24" fillId="0" borderId="125" xfId="0" applyFont="1" applyBorder="1" applyAlignment="1">
      <alignment horizontal="left" vertical="top" wrapText="1"/>
    </xf>
    <xf numFmtId="0" fontId="18" fillId="4" borderId="36" xfId="0" applyFont="1" applyFill="1" applyBorder="1" applyAlignment="1">
      <alignment vertical="top"/>
    </xf>
    <xf numFmtId="0" fontId="24" fillId="0" borderId="127" xfId="0" applyNumberFormat="1" applyFont="1" applyFill="1" applyBorder="1" applyAlignment="1">
      <alignment vertical="top" wrapText="1"/>
    </xf>
    <xf numFmtId="0" fontId="18" fillId="0" borderId="58" xfId="0" applyFont="1" applyFill="1" applyBorder="1" applyAlignment="1">
      <alignment vertical="top"/>
    </xf>
    <xf numFmtId="0" fontId="18" fillId="0" borderId="58" xfId="0" applyFont="1" applyFill="1" applyBorder="1" applyAlignment="1">
      <alignment vertical="top" wrapText="1"/>
    </xf>
    <xf numFmtId="0" fontId="18" fillId="0" borderId="58" xfId="0" applyFont="1" applyBorder="1" applyAlignment="1">
      <alignment vertical="center" wrapText="1"/>
    </xf>
    <xf numFmtId="194" fontId="18" fillId="0" borderId="58" xfId="0" applyNumberFormat="1" applyFont="1" applyFill="1" applyBorder="1" applyAlignment="1">
      <alignment vertical="center" wrapText="1"/>
    </xf>
    <xf numFmtId="49" fontId="18" fillId="0" borderId="58" xfId="0" applyNumberFormat="1" applyFont="1" applyFill="1" applyBorder="1" applyAlignment="1">
      <alignment vertical="center" wrapText="1"/>
    </xf>
    <xf numFmtId="0" fontId="18" fillId="0" borderId="33" xfId="0" applyFont="1" applyFill="1" applyBorder="1" applyAlignment="1">
      <alignment vertical="top"/>
    </xf>
    <xf numFmtId="0" fontId="18" fillId="0" borderId="67" xfId="0" applyFont="1" applyFill="1" applyBorder="1" applyAlignment="1">
      <alignment vertical="top" wrapText="1"/>
    </xf>
    <xf numFmtId="0" fontId="18" fillId="0" borderId="0" xfId="36" applyFont="1" applyFill="1" applyBorder="1" applyAlignment="1">
      <alignment vertical="center"/>
    </xf>
    <xf numFmtId="0" fontId="18" fillId="0" borderId="22" xfId="0" applyFont="1" applyBorder="1" applyAlignment="1">
      <alignment vertical="center" wrapText="1"/>
    </xf>
    <xf numFmtId="0" fontId="18" fillId="0" borderId="126" xfId="114" applyFont="1" applyFill="1" applyBorder="1" applyAlignment="1">
      <alignment vertical="top" wrapText="1"/>
    </xf>
    <xf numFmtId="187" fontId="36" fillId="0" borderId="0" xfId="50" applyFont="1" applyFill="1" applyAlignment="1">
      <alignment horizontal="center"/>
    </xf>
    <xf numFmtId="187" fontId="39" fillId="0" borderId="125" xfId="50" applyFont="1" applyFill="1" applyBorder="1" applyAlignment="1">
      <alignment horizontal="center" vertical="center" wrapText="1"/>
    </xf>
    <xf numFmtId="187" fontId="39" fillId="0" borderId="128" xfId="50" applyFont="1" applyFill="1" applyBorder="1" applyAlignment="1">
      <alignment horizontal="center" vertical="center" wrapText="1"/>
    </xf>
    <xf numFmtId="187" fontId="39" fillId="0" borderId="11" xfId="50" applyFont="1" applyFill="1" applyBorder="1" applyAlignment="1">
      <alignment horizontal="center" vertical="center" wrapText="1"/>
    </xf>
    <xf numFmtId="187" fontId="39" fillId="0" borderId="41" xfId="50" applyFont="1" applyFill="1" applyBorder="1" applyAlignment="1">
      <alignment horizontal="center" vertical="center" wrapText="1"/>
    </xf>
    <xf numFmtId="187" fontId="39" fillId="0" borderId="40" xfId="5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 shrinkToFit="1"/>
    </xf>
    <xf numFmtId="0" fontId="19" fillId="0" borderId="30" xfId="0" applyFont="1" applyFill="1" applyBorder="1" applyAlignment="1">
      <alignment horizontal="center" vertical="center" wrapText="1" shrinkToFit="1"/>
    </xf>
    <xf numFmtId="0" fontId="39" fillId="0" borderId="31" xfId="0" applyFont="1" applyFill="1" applyBorder="1" applyAlignment="1">
      <alignment horizontal="center" vertical="center" wrapText="1" shrinkToFit="1"/>
    </xf>
    <xf numFmtId="0" fontId="19" fillId="0" borderId="52" xfId="0" applyFont="1" applyFill="1" applyBorder="1"/>
    <xf numFmtId="187" fontId="19" fillId="0" borderId="21" xfId="50" applyFont="1" applyFill="1" applyBorder="1"/>
    <xf numFmtId="187" fontId="19" fillId="0" borderId="22" xfId="50" applyFont="1" applyFill="1" applyBorder="1"/>
    <xf numFmtId="187" fontId="39" fillId="0" borderId="21" xfId="50" applyFont="1" applyFill="1" applyBorder="1"/>
    <xf numFmtId="0" fontId="39" fillId="0" borderId="0" xfId="54" applyFont="1" applyFill="1" applyAlignment="1">
      <alignment vertical="center"/>
    </xf>
    <xf numFmtId="0" fontId="39" fillId="0" borderId="0" xfId="54" applyFont="1" applyFill="1" applyAlignment="1">
      <alignment vertical="center" wrapText="1"/>
    </xf>
    <xf numFmtId="43" fontId="39" fillId="0" borderId="0" xfId="51" applyFont="1" applyFill="1" applyAlignment="1">
      <alignment vertical="center"/>
    </xf>
    <xf numFmtId="43" fontId="36" fillId="0" borderId="0" xfId="51" applyFont="1" applyFill="1" applyAlignment="1">
      <alignment vertical="center"/>
    </xf>
    <xf numFmtId="0" fontId="36" fillId="0" borderId="0" xfId="54" applyFont="1" applyFill="1" applyAlignment="1">
      <alignment horizontal="center" vertical="center"/>
    </xf>
    <xf numFmtId="0" fontId="36" fillId="0" borderId="0" xfId="54" applyFont="1" applyFill="1" applyAlignment="1">
      <alignment horizontal="center" vertical="center" shrinkToFit="1"/>
    </xf>
    <xf numFmtId="0" fontId="36" fillId="0" borderId="0" xfId="54" applyFont="1" applyFill="1" applyAlignment="1">
      <alignment vertical="center"/>
    </xf>
    <xf numFmtId="0" fontId="36" fillId="0" borderId="0" xfId="54" applyFont="1" applyFill="1" applyAlignment="1">
      <alignment vertical="center" wrapText="1"/>
    </xf>
    <xf numFmtId="49" fontId="36" fillId="0" borderId="0" xfId="51" applyNumberFormat="1" applyFont="1" applyFill="1" applyAlignment="1">
      <alignment horizontal="center" vertical="center"/>
    </xf>
    <xf numFmtId="0" fontId="39" fillId="0" borderId="0" xfId="54" applyFont="1" applyFill="1" applyAlignment="1">
      <alignment horizontal="left" vertical="center"/>
    </xf>
    <xf numFmtId="0" fontId="39" fillId="0" borderId="119" xfId="54" applyFont="1" applyFill="1" applyBorder="1" applyAlignment="1">
      <alignment horizontal="left" vertical="center"/>
    </xf>
    <xf numFmtId="0" fontId="39" fillId="0" borderId="107" xfId="54" applyFont="1" applyFill="1" applyBorder="1" applyAlignment="1">
      <alignment horizontal="center" vertical="center"/>
    </xf>
    <xf numFmtId="43" fontId="39" fillId="0" borderId="108" xfId="51" applyFont="1" applyFill="1" applyBorder="1" applyAlignment="1">
      <alignment horizontal="center" vertical="center"/>
    </xf>
    <xf numFmtId="0" fontId="39" fillId="0" borderId="108" xfId="54" applyFont="1" applyFill="1" applyBorder="1" applyAlignment="1">
      <alignment horizontal="center" vertical="center"/>
    </xf>
    <xf numFmtId="0" fontId="39" fillId="0" borderId="108" xfId="54" applyFont="1" applyFill="1" applyBorder="1" applyAlignment="1">
      <alignment horizontal="center" vertical="center" shrinkToFit="1"/>
    </xf>
    <xf numFmtId="0" fontId="39" fillId="0" borderId="53" xfId="54" applyFont="1" applyFill="1" applyBorder="1" applyAlignment="1">
      <alignment horizontal="center" vertical="center"/>
    </xf>
    <xf numFmtId="0" fontId="39" fillId="0" borderId="109" xfId="54" applyFont="1" applyFill="1" applyBorder="1" applyAlignment="1">
      <alignment horizontal="center" vertical="center"/>
    </xf>
    <xf numFmtId="0" fontId="39" fillId="0" borderId="0" xfId="54" applyFont="1" applyFill="1" applyBorder="1" applyAlignment="1">
      <alignment horizontal="center" vertical="center"/>
    </xf>
    <xf numFmtId="0" fontId="39" fillId="0" borderId="20" xfId="54" applyFont="1" applyFill="1" applyBorder="1" applyAlignment="1">
      <alignment vertical="top"/>
    </xf>
    <xf numFmtId="0" fontId="39" fillId="0" borderId="6" xfId="54" applyFont="1" applyFill="1" applyBorder="1" applyAlignment="1">
      <alignment vertical="top" wrapText="1"/>
    </xf>
    <xf numFmtId="43" fontId="36" fillId="0" borderId="6" xfId="51" applyFont="1" applyFill="1" applyBorder="1" applyAlignment="1">
      <alignment vertical="top"/>
    </xf>
    <xf numFmtId="0" fontId="36" fillId="0" borderId="6" xfId="54" applyFont="1" applyFill="1" applyBorder="1" applyAlignment="1">
      <alignment horizontal="center" vertical="top"/>
    </xf>
    <xf numFmtId="0" fontId="36" fillId="0" borderId="6" xfId="54" applyFont="1" applyFill="1" applyBorder="1" applyAlignment="1">
      <alignment horizontal="center" vertical="top" shrinkToFit="1"/>
    </xf>
    <xf numFmtId="0" fontId="36" fillId="0" borderId="6" xfId="54" applyFont="1" applyFill="1" applyBorder="1" applyAlignment="1">
      <alignment vertical="top"/>
    </xf>
    <xf numFmtId="0" fontId="36" fillId="0" borderId="87" xfId="54" applyFont="1" applyFill="1" applyBorder="1" applyAlignment="1">
      <alignment vertical="top"/>
    </xf>
    <xf numFmtId="0" fontId="36" fillId="0" borderId="7" xfId="54" applyFont="1" applyFill="1" applyBorder="1" applyAlignment="1">
      <alignment vertical="top"/>
    </xf>
    <xf numFmtId="0" fontId="36" fillId="0" borderId="110" xfId="54" applyFont="1" applyFill="1" applyBorder="1" applyAlignment="1">
      <alignment vertical="top"/>
    </xf>
    <xf numFmtId="0" fontId="36" fillId="0" borderId="0" xfId="54" applyFont="1" applyFill="1" applyBorder="1" applyAlignment="1">
      <alignment vertical="top"/>
    </xf>
    <xf numFmtId="0" fontId="36" fillId="0" borderId="0" xfId="54" applyFont="1" applyFill="1" applyAlignment="1">
      <alignment vertical="top"/>
    </xf>
    <xf numFmtId="0" fontId="39" fillId="0" borderId="40" xfId="54" applyFont="1" applyFill="1" applyBorder="1" applyAlignment="1">
      <alignment vertical="top"/>
    </xf>
    <xf numFmtId="0" fontId="39" fillId="0" borderId="11" xfId="54" applyFont="1" applyFill="1" applyBorder="1" applyAlignment="1">
      <alignment vertical="top" wrapText="1"/>
    </xf>
    <xf numFmtId="43" fontId="39" fillId="0" borderId="11" xfId="51" applyFont="1" applyFill="1" applyBorder="1" applyAlignment="1">
      <alignment vertical="top"/>
    </xf>
    <xf numFmtId="188" fontId="39" fillId="0" borderId="11" xfId="51" applyNumberFormat="1" applyFont="1" applyFill="1" applyBorder="1" applyAlignment="1">
      <alignment horizontal="center" vertical="top"/>
    </xf>
    <xf numFmtId="0" fontId="39" fillId="0" borderId="11" xfId="54" applyFont="1" applyFill="1" applyBorder="1" applyAlignment="1">
      <alignment horizontal="center" vertical="top" shrinkToFit="1"/>
    </xf>
    <xf numFmtId="43" fontId="39" fillId="0" borderId="11" xfId="54" applyNumberFormat="1" applyFont="1" applyFill="1" applyBorder="1" applyAlignment="1">
      <alignment vertical="top"/>
    </xf>
    <xf numFmtId="43" fontId="39" fillId="0" borderId="38" xfId="51" applyFont="1" applyFill="1" applyBorder="1" applyAlignment="1">
      <alignment vertical="top"/>
    </xf>
    <xf numFmtId="43" fontId="39" fillId="0" borderId="41" xfId="51" applyFont="1" applyFill="1" applyBorder="1" applyAlignment="1">
      <alignment vertical="top"/>
    </xf>
    <xf numFmtId="43" fontId="39" fillId="0" borderId="43" xfId="51" applyFont="1" applyFill="1" applyBorder="1" applyAlignment="1">
      <alignment vertical="top"/>
    </xf>
    <xf numFmtId="43" fontId="39" fillId="0" borderId="0" xfId="51" applyFont="1" applyFill="1" applyBorder="1" applyAlignment="1">
      <alignment vertical="top"/>
    </xf>
    <xf numFmtId="0" fontId="39" fillId="0" borderId="0" xfId="54" applyFont="1" applyFill="1" applyAlignment="1">
      <alignment vertical="top"/>
    </xf>
    <xf numFmtId="0" fontId="36" fillId="0" borderId="66" xfId="54" applyFont="1" applyFill="1" applyBorder="1" applyAlignment="1">
      <alignment vertical="top"/>
    </xf>
    <xf numFmtId="0" fontId="36" fillId="0" borderId="9" xfId="38" applyFont="1" applyFill="1" applyBorder="1" applyAlignment="1">
      <alignment vertical="center" wrapText="1" shrinkToFit="1"/>
    </xf>
    <xf numFmtId="187" fontId="36" fillId="0" borderId="93" xfId="51" applyNumberFormat="1" applyFont="1" applyFill="1" applyBorder="1" applyAlignment="1">
      <alignment vertical="top"/>
    </xf>
    <xf numFmtId="43" fontId="39" fillId="0" borderId="93" xfId="51" applyFont="1" applyFill="1" applyBorder="1" applyAlignment="1">
      <alignment vertical="top"/>
    </xf>
    <xf numFmtId="188" fontId="36" fillId="0" borderId="93" xfId="51" applyNumberFormat="1" applyFont="1" applyFill="1" applyBorder="1" applyAlignment="1">
      <alignment horizontal="center" vertical="top"/>
    </xf>
    <xf numFmtId="0" fontId="36" fillId="0" borderId="93" xfId="54" applyFont="1" applyFill="1" applyBorder="1" applyAlignment="1">
      <alignment horizontal="center" vertical="top" shrinkToFit="1"/>
    </xf>
    <xf numFmtId="43" fontId="39" fillId="0" borderId="93" xfId="54" applyNumberFormat="1" applyFont="1" applyFill="1" applyBorder="1" applyAlignment="1">
      <alignment vertical="top"/>
    </xf>
    <xf numFmtId="2" fontId="36" fillId="0" borderId="94" xfId="54" applyNumberFormat="1" applyFont="1" applyFill="1" applyBorder="1" applyAlignment="1">
      <alignment vertical="top"/>
    </xf>
    <xf numFmtId="2" fontId="36" fillId="0" borderId="91" xfId="54" applyNumberFormat="1" applyFont="1" applyFill="1" applyBorder="1" applyAlignment="1">
      <alignment vertical="top"/>
    </xf>
    <xf numFmtId="0" fontId="36" fillId="0" borderId="42" xfId="54" applyFont="1" applyFill="1" applyBorder="1" applyAlignment="1">
      <alignment vertical="top"/>
    </xf>
    <xf numFmtId="0" fontId="36" fillId="0" borderId="15" xfId="54" applyFont="1" applyFill="1" applyBorder="1" applyAlignment="1">
      <alignment vertical="top"/>
    </xf>
    <xf numFmtId="0" fontId="36" fillId="0" borderId="13" xfId="38" applyFont="1" applyFill="1" applyBorder="1" applyAlignment="1">
      <alignment vertical="center" wrapText="1" shrinkToFit="1"/>
    </xf>
    <xf numFmtId="187" fontId="36" fillId="0" borderId="13" xfId="51" applyNumberFormat="1" applyFont="1" applyFill="1" applyBorder="1" applyAlignment="1">
      <alignment vertical="top"/>
    </xf>
    <xf numFmtId="43" fontId="39" fillId="0" borderId="13" xfId="51" applyFont="1" applyFill="1" applyBorder="1" applyAlignment="1">
      <alignment vertical="top"/>
    </xf>
    <xf numFmtId="0" fontId="36" fillId="0" borderId="13" xfId="54" applyFont="1" applyFill="1" applyBorder="1" applyAlignment="1">
      <alignment horizontal="center" vertical="top" shrinkToFit="1"/>
    </xf>
    <xf numFmtId="43" fontId="39" fillId="0" borderId="13" xfId="54" applyNumberFormat="1" applyFont="1" applyFill="1" applyBorder="1" applyAlignment="1">
      <alignment vertical="top"/>
    </xf>
    <xf numFmtId="2" fontId="36" fillId="0" borderId="16" xfId="54" applyNumberFormat="1" applyFont="1" applyFill="1" applyBorder="1" applyAlignment="1">
      <alignment vertical="top"/>
    </xf>
    <xf numFmtId="2" fontId="36" fillId="0" borderId="14" xfId="54" applyNumberFormat="1" applyFont="1" applyFill="1" applyBorder="1" applyAlignment="1">
      <alignment vertical="top"/>
    </xf>
    <xf numFmtId="0" fontId="36" fillId="0" borderId="13" xfId="54" applyFont="1" applyFill="1" applyBorder="1" applyAlignment="1">
      <alignment vertical="top" wrapText="1"/>
    </xf>
    <xf numFmtId="188" fontId="36" fillId="0" borderId="13" xfId="1" applyNumberFormat="1" applyFont="1" applyFill="1" applyBorder="1" applyAlignment="1">
      <alignment horizontal="center" vertical="top"/>
    </xf>
    <xf numFmtId="187" fontId="36" fillId="0" borderId="13" xfId="1" applyFont="1" applyFill="1" applyBorder="1" applyAlignment="1">
      <alignment horizontal="center" vertical="top" shrinkToFit="1"/>
    </xf>
    <xf numFmtId="2" fontId="36" fillId="0" borderId="16" xfId="1" applyNumberFormat="1" applyFont="1" applyFill="1" applyBorder="1" applyAlignment="1">
      <alignment vertical="top"/>
    </xf>
    <xf numFmtId="2" fontId="36" fillId="0" borderId="14" xfId="1" applyNumberFormat="1" applyFont="1" applyFill="1" applyBorder="1" applyAlignment="1">
      <alignment vertical="top"/>
    </xf>
    <xf numFmtId="187" fontId="36" fillId="0" borderId="42" xfId="51" applyNumberFormat="1" applyFont="1" applyFill="1" applyBorder="1" applyAlignment="1">
      <alignment vertical="top"/>
    </xf>
    <xf numFmtId="187" fontId="36" fillId="0" borderId="0" xfId="51" applyNumberFormat="1" applyFont="1" applyFill="1" applyBorder="1" applyAlignment="1">
      <alignment vertical="top"/>
    </xf>
    <xf numFmtId="0" fontId="36" fillId="0" borderId="15" xfId="54" applyFont="1" applyFill="1" applyBorder="1" applyAlignment="1">
      <alignment horizontal="center" wrapText="1"/>
    </xf>
    <xf numFmtId="0" fontId="36" fillId="0" borderId="13" xfId="35" applyFont="1" applyFill="1" applyBorder="1" applyAlignment="1">
      <alignment vertical="center" wrapText="1"/>
    </xf>
    <xf numFmtId="43" fontId="36" fillId="0" borderId="42" xfId="51" applyFont="1" applyFill="1" applyBorder="1" applyAlignment="1">
      <alignment vertical="top"/>
    </xf>
    <xf numFmtId="43" fontId="36" fillId="0" borderId="0" xfId="51" applyFont="1" applyFill="1" applyBorder="1" applyAlignment="1">
      <alignment vertical="top"/>
    </xf>
    <xf numFmtId="0" fontId="36" fillId="0" borderId="13" xfId="54" applyFont="1" applyFill="1" applyBorder="1"/>
    <xf numFmtId="2" fontId="36" fillId="0" borderId="14" xfId="51" applyNumberFormat="1" applyFont="1" applyFill="1" applyBorder="1" applyAlignment="1">
      <alignment vertical="top"/>
    </xf>
    <xf numFmtId="43" fontId="36" fillId="0" borderId="111" xfId="51" applyFont="1" applyFill="1" applyBorder="1" applyAlignment="1">
      <alignment vertical="top"/>
    </xf>
    <xf numFmtId="0" fontId="36" fillId="0" borderId="17" xfId="54" applyFont="1" applyFill="1" applyBorder="1" applyAlignment="1">
      <alignment horizontal="center"/>
    </xf>
    <xf numFmtId="0" fontId="36" fillId="0" borderId="18" xfId="35" applyFont="1" applyFill="1" applyBorder="1" applyAlignment="1">
      <alignment vertical="center" wrapText="1"/>
    </xf>
    <xf numFmtId="187" fontId="36" fillId="0" borderId="18" xfId="51" applyNumberFormat="1" applyFont="1" applyFill="1" applyBorder="1" applyAlignment="1">
      <alignment vertical="top"/>
    </xf>
    <xf numFmtId="43" fontId="39" fillId="0" borderId="18" xfId="51" applyFont="1" applyFill="1" applyBorder="1" applyAlignment="1">
      <alignment vertical="top"/>
    </xf>
    <xf numFmtId="188" fontId="36" fillId="0" borderId="18" xfId="51" applyNumberFormat="1" applyFont="1" applyFill="1" applyBorder="1" applyAlignment="1">
      <alignment horizontal="center" vertical="top"/>
    </xf>
    <xf numFmtId="0" fontId="36" fillId="0" borderId="18" xfId="54" applyFont="1" applyFill="1" applyBorder="1" applyAlignment="1">
      <alignment horizontal="center" vertical="top" shrinkToFit="1"/>
    </xf>
    <xf numFmtId="43" fontId="39" fillId="0" borderId="18" xfId="54" applyNumberFormat="1" applyFont="1" applyFill="1" applyBorder="1" applyAlignment="1">
      <alignment vertical="top"/>
    </xf>
    <xf numFmtId="2" fontId="36" fillId="0" borderId="113" xfId="1" applyNumberFormat="1" applyFont="1" applyFill="1" applyBorder="1" applyAlignment="1">
      <alignment vertical="top"/>
    </xf>
    <xf numFmtId="43" fontId="36" fillId="0" borderId="19" xfId="51" applyFont="1" applyFill="1" applyBorder="1" applyAlignment="1">
      <alignment vertical="top"/>
    </xf>
    <xf numFmtId="0" fontId="36" fillId="0" borderId="6" xfId="54" applyFont="1" applyFill="1" applyBorder="1" applyAlignment="1">
      <alignment vertical="top" wrapText="1"/>
    </xf>
    <xf numFmtId="43" fontId="39" fillId="0" borderId="6" xfId="51" applyFont="1" applyFill="1" applyBorder="1" applyAlignment="1">
      <alignment vertical="top"/>
    </xf>
    <xf numFmtId="188" fontId="36" fillId="0" borderId="6" xfId="51" applyNumberFormat="1" applyFont="1" applyFill="1" applyBorder="1" applyAlignment="1">
      <alignment horizontal="center" vertical="top"/>
    </xf>
    <xf numFmtId="43" fontId="39" fillId="0" borderId="6" xfId="54" applyNumberFormat="1" applyFont="1" applyFill="1" applyBorder="1" applyAlignment="1">
      <alignment vertical="top"/>
    </xf>
    <xf numFmtId="43" fontId="39" fillId="0" borderId="87" xfId="51" applyFont="1" applyFill="1" applyBorder="1" applyAlignment="1">
      <alignment vertical="top"/>
    </xf>
    <xf numFmtId="43" fontId="39" fillId="0" borderId="7" xfId="51" applyFont="1" applyFill="1" applyBorder="1" applyAlignment="1">
      <alignment vertical="top"/>
    </xf>
    <xf numFmtId="43" fontId="39" fillId="0" borderId="110" xfId="51" applyFont="1" applyFill="1" applyBorder="1" applyAlignment="1">
      <alignment vertical="top"/>
    </xf>
    <xf numFmtId="0" fontId="36" fillId="0" borderId="68" xfId="54" applyFont="1" applyFill="1" applyBorder="1" applyAlignment="1">
      <alignment horizontal="center" wrapText="1"/>
    </xf>
    <xf numFmtId="0" fontId="36" fillId="0" borderId="18" xfId="38" applyFont="1" applyFill="1" applyBorder="1" applyAlignment="1">
      <alignment vertical="center" wrapText="1"/>
    </xf>
    <xf numFmtId="187" fontId="36" fillId="0" borderId="27" xfId="51" applyNumberFormat="1" applyFont="1" applyFill="1" applyBorder="1" applyAlignment="1">
      <alignment vertical="top"/>
    </xf>
    <xf numFmtId="43" fontId="39" fillId="0" borderId="27" xfId="51" applyFont="1" applyFill="1" applyBorder="1" applyAlignment="1">
      <alignment vertical="top"/>
    </xf>
    <xf numFmtId="188" fontId="36" fillId="0" borderId="27" xfId="51" applyNumberFormat="1" applyFont="1" applyFill="1" applyBorder="1" applyAlignment="1">
      <alignment horizontal="center" vertical="top"/>
    </xf>
    <xf numFmtId="0" fontId="36" fillId="0" borderId="27" xfId="54" applyFont="1" applyFill="1" applyBorder="1" applyAlignment="1">
      <alignment horizontal="center" vertical="top" shrinkToFit="1"/>
    </xf>
    <xf numFmtId="43" fontId="39" fillId="0" borderId="27" xfId="54" applyNumberFormat="1" applyFont="1" applyFill="1" applyBorder="1" applyAlignment="1">
      <alignment vertical="top"/>
    </xf>
    <xf numFmtId="43" fontId="36" fillId="0" borderId="85" xfId="51" applyFont="1" applyFill="1" applyBorder="1" applyAlignment="1">
      <alignment vertical="top"/>
    </xf>
    <xf numFmtId="43" fontId="36" fillId="0" borderId="39" xfId="51" applyFont="1" applyFill="1" applyBorder="1" applyAlignment="1">
      <alignment vertical="top"/>
    </xf>
    <xf numFmtId="43" fontId="36" fillId="0" borderId="0" xfId="54" applyNumberFormat="1" applyFont="1" applyFill="1" applyAlignment="1">
      <alignment vertical="top"/>
    </xf>
    <xf numFmtId="0" fontId="39" fillId="0" borderId="20" xfId="54" applyFont="1" applyFill="1" applyBorder="1" applyAlignment="1">
      <alignment horizontal="left" vertical="top"/>
    </xf>
    <xf numFmtId="188" fontId="39" fillId="0" borderId="6" xfId="51" applyNumberFormat="1" applyFont="1" applyFill="1" applyBorder="1" applyAlignment="1">
      <alignment horizontal="center" vertical="top"/>
    </xf>
    <xf numFmtId="187" fontId="39" fillId="0" borderId="6" xfId="54" applyNumberFormat="1" applyFont="1" applyFill="1" applyBorder="1" applyAlignment="1">
      <alignment horizontal="center" vertical="top" shrinkToFit="1"/>
    </xf>
    <xf numFmtId="43" fontId="39" fillId="0" borderId="42" xfId="51" applyFont="1" applyFill="1" applyBorder="1" applyAlignment="1">
      <alignment vertical="top"/>
    </xf>
    <xf numFmtId="187" fontId="39" fillId="0" borderId="0" xfId="54" applyNumberFormat="1" applyFont="1" applyFill="1" applyAlignment="1">
      <alignment vertical="top"/>
    </xf>
    <xf numFmtId="0" fontId="36" fillId="0" borderId="65" xfId="35" applyFont="1" applyFill="1" applyBorder="1" applyAlignment="1">
      <alignment vertical="center" wrapText="1" shrinkToFit="1"/>
    </xf>
    <xf numFmtId="187" fontId="36" fillId="0" borderId="9" xfId="51" applyNumberFormat="1" applyFont="1" applyFill="1" applyBorder="1" applyAlignment="1">
      <alignment vertical="top"/>
    </xf>
    <xf numFmtId="43" fontId="39" fillId="0" borderId="9" xfId="51" applyFont="1" applyFill="1" applyBorder="1" applyAlignment="1">
      <alignment vertical="top"/>
    </xf>
    <xf numFmtId="188" fontId="36" fillId="0" borderId="9" xfId="51" applyNumberFormat="1" applyFont="1" applyFill="1" applyBorder="1" applyAlignment="1">
      <alignment horizontal="center" vertical="top"/>
    </xf>
    <xf numFmtId="0" fontId="36" fillId="0" borderId="9" xfId="54" applyFont="1" applyFill="1" applyBorder="1" applyAlignment="1">
      <alignment horizontal="center" vertical="top" shrinkToFit="1"/>
    </xf>
    <xf numFmtId="43" fontId="39" fillId="0" borderId="9" xfId="54" applyNumberFormat="1" applyFont="1" applyFill="1" applyBorder="1" applyAlignment="1">
      <alignment vertical="top"/>
    </xf>
    <xf numFmtId="43" fontId="36" fillId="0" borderId="112" xfId="51" applyFont="1" applyFill="1" applyBorder="1" applyAlignment="1">
      <alignment vertical="top"/>
    </xf>
    <xf numFmtId="43" fontId="36" fillId="0" borderId="10" xfId="51" applyFont="1" applyFill="1" applyBorder="1" applyAlignment="1">
      <alignment vertical="top"/>
    </xf>
    <xf numFmtId="0" fontId="36" fillId="0" borderId="54" xfId="35" applyFont="1" applyFill="1" applyBorder="1" applyAlignment="1">
      <alignment vertical="center" wrapText="1"/>
    </xf>
    <xf numFmtId="43" fontId="36" fillId="0" borderId="16" xfId="51" applyFont="1" applyFill="1" applyBorder="1" applyAlignment="1">
      <alignment vertical="top"/>
    </xf>
    <xf numFmtId="43" fontId="36" fillId="0" borderId="14" xfId="51" applyFont="1" applyFill="1" applyBorder="1" applyAlignment="1">
      <alignment vertical="top"/>
    </xf>
    <xf numFmtId="0" fontId="36" fillId="0" borderId="54" xfId="35" applyFont="1" applyFill="1" applyBorder="1" applyAlignment="1">
      <alignment vertical="center" wrapText="1" shrinkToFit="1"/>
    </xf>
    <xf numFmtId="0" fontId="36" fillId="0" borderId="17" xfId="54" applyFont="1" applyFill="1" applyBorder="1" applyAlignment="1">
      <alignment horizontal="center" wrapText="1"/>
    </xf>
    <xf numFmtId="0" fontId="36" fillId="0" borderId="55" xfId="35" applyFont="1" applyFill="1" applyBorder="1" applyAlignment="1">
      <alignment vertical="center" wrapText="1"/>
    </xf>
    <xf numFmtId="43" fontId="36" fillId="0" borderId="113" xfId="51" applyFont="1" applyFill="1" applyBorder="1" applyAlignment="1">
      <alignment vertical="top"/>
    </xf>
    <xf numFmtId="0" fontId="39" fillId="0" borderId="5" xfId="54" applyFont="1" applyFill="1" applyBorder="1" applyAlignment="1">
      <alignment vertical="top" wrapText="1"/>
    </xf>
    <xf numFmtId="43" fontId="39" fillId="0" borderId="31" xfId="51" applyFont="1" applyFill="1" applyBorder="1" applyAlignment="1">
      <alignment vertical="top"/>
    </xf>
    <xf numFmtId="188" fontId="39" fillId="0" borderId="31" xfId="51" applyNumberFormat="1" applyFont="1" applyFill="1" applyBorder="1" applyAlignment="1">
      <alignment horizontal="center" vertical="top"/>
    </xf>
    <xf numFmtId="0" fontId="39" fillId="0" borderId="31" xfId="54" applyFont="1" applyFill="1" applyBorder="1" applyAlignment="1">
      <alignment horizontal="center" vertical="top" shrinkToFit="1"/>
    </xf>
    <xf numFmtId="0" fontId="39" fillId="0" borderId="31" xfId="54" applyNumberFormat="1" applyFont="1" applyFill="1" applyBorder="1" applyAlignment="1">
      <alignment vertical="top"/>
    </xf>
    <xf numFmtId="187" fontId="39" fillId="0" borderId="29" xfId="54" applyNumberFormat="1" applyFont="1" applyFill="1" applyBorder="1" applyAlignment="1">
      <alignment vertical="top"/>
    </xf>
    <xf numFmtId="187" fontId="39" fillId="0" borderId="78" xfId="54" applyNumberFormat="1" applyFont="1" applyFill="1" applyBorder="1" applyAlignment="1">
      <alignment vertical="top"/>
    </xf>
    <xf numFmtId="187" fontId="39" fillId="0" borderId="110" xfId="54" applyNumberFormat="1" applyFont="1" applyFill="1" applyBorder="1" applyAlignment="1">
      <alignment vertical="top"/>
    </xf>
    <xf numFmtId="187" fontId="39" fillId="0" borderId="0" xfId="54" applyNumberFormat="1" applyFont="1" applyFill="1" applyBorder="1" applyAlignment="1">
      <alignment vertical="top"/>
    </xf>
    <xf numFmtId="0" fontId="36" fillId="0" borderId="66" xfId="35" applyFont="1" applyFill="1" applyBorder="1" applyAlignment="1">
      <alignment horizontal="center" vertical="center" wrapText="1"/>
    </xf>
    <xf numFmtId="0" fontId="36" fillId="0" borderId="9" xfId="35" applyFont="1" applyFill="1" applyBorder="1" applyAlignment="1">
      <alignment vertical="center" wrapText="1"/>
    </xf>
    <xf numFmtId="43" fontId="36" fillId="0" borderId="94" xfId="51" applyFont="1" applyFill="1" applyBorder="1" applyAlignment="1">
      <alignment vertical="top"/>
    </xf>
    <xf numFmtId="187" fontId="36" fillId="0" borderId="91" xfId="51" applyNumberFormat="1" applyFont="1" applyFill="1" applyBorder="1" applyAlignment="1">
      <alignment vertical="top"/>
    </xf>
    <xf numFmtId="43" fontId="36" fillId="0" borderId="44" xfId="51" applyFont="1" applyFill="1" applyBorder="1" applyAlignment="1">
      <alignment vertical="top"/>
    </xf>
    <xf numFmtId="43" fontId="36" fillId="0" borderId="57" xfId="51" applyFont="1" applyFill="1" applyBorder="1" applyAlignment="1">
      <alignment vertical="top"/>
    </xf>
    <xf numFmtId="0" fontId="36" fillId="0" borderId="15" xfId="35" applyFont="1" applyFill="1" applyBorder="1" applyAlignment="1">
      <alignment horizontal="center" vertical="center" wrapText="1"/>
    </xf>
    <xf numFmtId="187" fontId="36" fillId="0" borderId="14" xfId="51" applyNumberFormat="1" applyFont="1" applyFill="1" applyBorder="1" applyAlignment="1">
      <alignment vertical="top"/>
    </xf>
    <xf numFmtId="43" fontId="36" fillId="0" borderId="60" xfId="51" applyFont="1" applyFill="1" applyBorder="1" applyAlignment="1">
      <alignment vertical="top"/>
    </xf>
    <xf numFmtId="43" fontId="36" fillId="0" borderId="51" xfId="51" applyFont="1" applyFill="1" applyBorder="1" applyAlignment="1">
      <alignment vertical="top"/>
    </xf>
    <xf numFmtId="0" fontId="36" fillId="0" borderId="18" xfId="35" applyFont="1" applyFill="1" applyBorder="1" applyAlignment="1">
      <alignment horizontal="center" vertical="center" wrapText="1"/>
    </xf>
    <xf numFmtId="0" fontId="36" fillId="0" borderId="18" xfId="35" applyFont="1" applyFill="1" applyBorder="1" applyAlignment="1">
      <alignment horizontal="left" vertical="center" wrapText="1"/>
    </xf>
    <xf numFmtId="187" fontId="36" fillId="0" borderId="19" xfId="51" applyNumberFormat="1" applyFont="1" applyFill="1" applyBorder="1" applyAlignment="1">
      <alignment vertical="top"/>
    </xf>
    <xf numFmtId="0" fontId="36" fillId="0" borderId="9" xfId="35" applyFont="1" applyFill="1" applyBorder="1" applyAlignment="1">
      <alignment vertical="center" wrapText="1" shrinkToFit="1"/>
    </xf>
    <xf numFmtId="2" fontId="36" fillId="0" borderId="94" xfId="54" applyNumberFormat="1" applyFont="1" applyFill="1" applyBorder="1" applyAlignment="1">
      <alignment horizontal="center"/>
    </xf>
    <xf numFmtId="2" fontId="36" fillId="0" borderId="91" xfId="54" applyNumberFormat="1" applyFont="1" applyFill="1" applyBorder="1" applyAlignment="1">
      <alignment horizontal="center"/>
    </xf>
    <xf numFmtId="2" fontId="36" fillId="0" borderId="42" xfId="54" applyNumberFormat="1" applyFont="1" applyFill="1" applyBorder="1" applyAlignment="1">
      <alignment horizontal="center"/>
    </xf>
    <xf numFmtId="2" fontId="36" fillId="0" borderId="0" xfId="54" applyNumberFormat="1" applyFont="1" applyFill="1" applyBorder="1" applyAlignment="1">
      <alignment horizontal="center"/>
    </xf>
    <xf numFmtId="0" fontId="36" fillId="0" borderId="13" xfId="35" applyFont="1" applyFill="1" applyBorder="1" applyAlignment="1">
      <alignment vertical="center" wrapText="1" shrinkToFit="1"/>
    </xf>
    <xf numFmtId="2" fontId="36" fillId="0" borderId="16" xfId="54" applyNumberFormat="1" applyFont="1" applyFill="1" applyBorder="1" applyAlignment="1">
      <alignment horizontal="center"/>
    </xf>
    <xf numFmtId="2" fontId="36" fillId="0" borderId="14" xfId="54" applyNumberFormat="1" applyFont="1" applyFill="1" applyBorder="1" applyAlignment="1">
      <alignment horizontal="center"/>
    </xf>
    <xf numFmtId="0" fontId="36" fillId="0" borderId="15" xfId="54" applyFont="1" applyFill="1" applyBorder="1" applyAlignment="1">
      <alignment horizontal="center" vertical="top"/>
    </xf>
    <xf numFmtId="0" fontId="39" fillId="0" borderId="20" xfId="54" applyFont="1" applyFill="1" applyBorder="1" applyAlignment="1">
      <alignment horizontal="center" vertical="top"/>
    </xf>
    <xf numFmtId="43" fontId="36" fillId="0" borderId="6" xfId="54" applyNumberFormat="1" applyFont="1" applyFill="1" applyBorder="1" applyAlignment="1">
      <alignment vertical="top"/>
    </xf>
    <xf numFmtId="43" fontId="39" fillId="0" borderId="114" xfId="51" applyFont="1" applyFill="1" applyBorder="1" applyAlignment="1">
      <alignment vertical="top"/>
    </xf>
    <xf numFmtId="188" fontId="36" fillId="0" borderId="93" xfId="42" applyNumberFormat="1" applyFont="1" applyFill="1" applyBorder="1" applyAlignment="1">
      <alignment horizontal="center" vertical="top"/>
    </xf>
    <xf numFmtId="43" fontId="36" fillId="0" borderId="91" xfId="51" applyFont="1" applyFill="1" applyBorder="1" applyAlignment="1">
      <alignment vertical="top"/>
    </xf>
    <xf numFmtId="188" fontId="36" fillId="0" borderId="13" xfId="42" applyNumberFormat="1" applyFont="1" applyFill="1" applyBorder="1" applyAlignment="1">
      <alignment horizontal="center" vertical="top"/>
    </xf>
    <xf numFmtId="0" fontId="36" fillId="0" borderId="15" xfId="54" applyFont="1" applyFill="1" applyBorder="1" applyAlignment="1">
      <alignment horizontal="center"/>
    </xf>
    <xf numFmtId="188" fontId="39" fillId="0" borderId="13" xfId="42" applyNumberFormat="1" applyFont="1" applyFill="1" applyBorder="1" applyAlignment="1">
      <alignment horizontal="center" vertical="top"/>
    </xf>
    <xf numFmtId="43" fontId="36" fillId="0" borderId="115" xfId="51" applyFont="1" applyFill="1" applyBorder="1" applyAlignment="1">
      <alignment vertical="top"/>
    </xf>
    <xf numFmtId="43" fontId="36" fillId="0" borderId="69" xfId="51" applyFont="1" applyFill="1" applyBorder="1" applyAlignment="1">
      <alignment vertical="top"/>
    </xf>
    <xf numFmtId="188" fontId="36" fillId="0" borderId="18" xfId="42" applyNumberFormat="1" applyFont="1" applyFill="1" applyBorder="1" applyAlignment="1">
      <alignment horizontal="center" vertical="top"/>
    </xf>
    <xf numFmtId="187" fontId="36" fillId="0" borderId="6" xfId="54" applyNumberFormat="1" applyFont="1" applyFill="1" applyBorder="1" applyAlignment="1">
      <alignment horizontal="center" vertical="top" shrinkToFit="1"/>
    </xf>
    <xf numFmtId="0" fontId="36" fillId="0" borderId="92" xfId="54" applyFont="1" applyFill="1" applyBorder="1" applyAlignment="1">
      <alignment vertical="top"/>
    </xf>
    <xf numFmtId="0" fontId="36" fillId="0" borderId="93" xfId="54" applyFont="1" applyFill="1" applyBorder="1" applyAlignment="1">
      <alignment vertical="top" wrapText="1"/>
    </xf>
    <xf numFmtId="43" fontId="36" fillId="0" borderId="93" xfId="51" applyFont="1" applyFill="1" applyBorder="1" applyAlignment="1">
      <alignment vertical="top"/>
    </xf>
    <xf numFmtId="0" fontId="36" fillId="0" borderId="9" xfId="54" applyFont="1" applyFill="1" applyBorder="1" applyAlignment="1">
      <alignment vertical="top" wrapText="1"/>
    </xf>
    <xf numFmtId="43" fontId="36" fillId="0" borderId="9" xfId="51" applyFont="1" applyFill="1" applyBorder="1" applyAlignment="1">
      <alignment vertical="top"/>
    </xf>
    <xf numFmtId="43" fontId="36" fillId="0" borderId="13" xfId="51" applyFont="1" applyFill="1" applyBorder="1" applyAlignment="1">
      <alignment vertical="top"/>
    </xf>
    <xf numFmtId="0" fontId="36" fillId="0" borderId="17" xfId="54" applyFont="1" applyFill="1" applyBorder="1" applyAlignment="1">
      <alignment vertical="top"/>
    </xf>
    <xf numFmtId="0" fontId="36" fillId="0" borderId="18" xfId="54" applyFont="1" applyFill="1" applyBorder="1" applyAlignment="1">
      <alignment vertical="top" wrapText="1"/>
    </xf>
    <xf numFmtId="43" fontId="36" fillId="0" borderId="18" xfId="51" applyFont="1" applyFill="1" applyBorder="1" applyAlignment="1">
      <alignment vertical="top"/>
    </xf>
    <xf numFmtId="43" fontId="39" fillId="0" borderId="87" xfId="54" applyNumberFormat="1" applyFont="1" applyFill="1" applyBorder="1" applyAlignment="1">
      <alignment vertical="top"/>
    </xf>
    <xf numFmtId="43" fontId="39" fillId="0" borderId="7" xfId="54" applyNumberFormat="1" applyFont="1" applyFill="1" applyBorder="1" applyAlignment="1">
      <alignment vertical="top"/>
    </xf>
    <xf numFmtId="0" fontId="36" fillId="0" borderId="63" xfId="54" applyFont="1" applyFill="1" applyBorder="1" applyAlignment="1">
      <alignment vertical="top"/>
    </xf>
    <xf numFmtId="0" fontId="36" fillId="0" borderId="27" xfId="54" applyFont="1" applyFill="1" applyBorder="1" applyAlignment="1">
      <alignment vertical="top"/>
    </xf>
    <xf numFmtId="2" fontId="36" fillId="0" borderId="85" xfId="54" applyNumberFormat="1" applyFont="1" applyFill="1" applyBorder="1" applyAlignment="1">
      <alignment vertical="top"/>
    </xf>
    <xf numFmtId="43" fontId="36" fillId="0" borderId="39" xfId="54" applyNumberFormat="1" applyFont="1" applyFill="1" applyBorder="1" applyAlignment="1">
      <alignment vertical="top"/>
    </xf>
    <xf numFmtId="0" fontId="36" fillId="0" borderId="73" xfId="54" applyFont="1" applyFill="1" applyBorder="1" applyAlignment="1">
      <alignment vertical="top"/>
    </xf>
    <xf numFmtId="0" fontId="36" fillId="0" borderId="13" xfId="54" applyFont="1" applyFill="1" applyBorder="1" applyAlignment="1">
      <alignment vertical="top"/>
    </xf>
    <xf numFmtId="43" fontId="36" fillId="0" borderId="14" xfId="54" applyNumberFormat="1" applyFont="1" applyFill="1" applyBorder="1" applyAlignment="1">
      <alignment vertical="top"/>
    </xf>
    <xf numFmtId="0" fontId="36" fillId="0" borderId="36" xfId="54" applyFont="1" applyFill="1" applyBorder="1" applyAlignment="1">
      <alignment vertical="top"/>
    </xf>
    <xf numFmtId="193" fontId="39" fillId="0" borderId="13" xfId="51" applyNumberFormat="1" applyFont="1" applyFill="1" applyBorder="1" applyAlignment="1">
      <alignment vertical="top"/>
    </xf>
    <xf numFmtId="0" fontId="36" fillId="0" borderId="68" xfId="54" applyFont="1" applyFill="1" applyBorder="1" applyAlignment="1">
      <alignment vertical="top"/>
    </xf>
    <xf numFmtId="0" fontId="36" fillId="0" borderId="35" xfId="54" applyFont="1" applyFill="1" applyBorder="1" applyAlignment="1">
      <alignment vertical="top"/>
    </xf>
    <xf numFmtId="187" fontId="36" fillId="0" borderId="35" xfId="51" applyNumberFormat="1" applyFont="1" applyFill="1" applyBorder="1" applyAlignment="1">
      <alignment vertical="top"/>
    </xf>
    <xf numFmtId="43" fontId="39" fillId="0" borderId="35" xfId="51" applyFont="1" applyFill="1" applyBorder="1" applyAlignment="1">
      <alignment vertical="top"/>
    </xf>
    <xf numFmtId="188" fontId="36" fillId="0" borderId="35" xfId="51" applyNumberFormat="1" applyFont="1" applyFill="1" applyBorder="1" applyAlignment="1">
      <alignment horizontal="center" vertical="top"/>
    </xf>
    <xf numFmtId="0" fontId="36" fillId="0" borderId="35" xfId="54" applyFont="1" applyFill="1" applyBorder="1" applyAlignment="1">
      <alignment horizontal="center" vertical="top" shrinkToFit="1"/>
    </xf>
    <xf numFmtId="43" fontId="39" fillId="0" borderId="35" xfId="54" applyNumberFormat="1" applyFont="1" applyFill="1" applyBorder="1" applyAlignment="1">
      <alignment vertical="top"/>
    </xf>
    <xf numFmtId="2" fontId="36" fillId="0" borderId="95" xfId="54" applyNumberFormat="1" applyFont="1" applyFill="1" applyBorder="1" applyAlignment="1">
      <alignment vertical="top"/>
    </xf>
    <xf numFmtId="43" fontId="36" fillId="0" borderId="34" xfId="54" applyNumberFormat="1" applyFont="1" applyFill="1" applyBorder="1" applyAlignment="1">
      <alignment vertical="top"/>
    </xf>
    <xf numFmtId="0" fontId="39" fillId="0" borderId="62" xfId="54" applyFont="1" applyFill="1" applyBorder="1" applyAlignment="1">
      <alignment horizontal="center" vertical="top"/>
    </xf>
    <xf numFmtId="0" fontId="39" fillId="0" borderId="60" xfId="54" applyFont="1" applyFill="1" applyBorder="1" applyAlignment="1">
      <alignment horizontal="center" vertical="top"/>
    </xf>
    <xf numFmtId="43" fontId="39" fillId="0" borderId="32" xfId="51" applyFont="1" applyFill="1" applyBorder="1" applyAlignment="1">
      <alignment vertical="top"/>
    </xf>
    <xf numFmtId="188" fontId="39" fillId="0" borderId="32" xfId="51" applyNumberFormat="1" applyFont="1" applyFill="1" applyBorder="1" applyAlignment="1">
      <alignment horizontal="center" vertical="top"/>
    </xf>
    <xf numFmtId="0" fontId="39" fillId="0" borderId="32" xfId="54" applyFont="1" applyFill="1" applyBorder="1" applyAlignment="1">
      <alignment horizontal="center" vertical="top" shrinkToFit="1"/>
    </xf>
    <xf numFmtId="43" fontId="39" fillId="0" borderId="32" xfId="54" applyNumberFormat="1" applyFont="1" applyFill="1" applyBorder="1" applyAlignment="1">
      <alignment vertical="top"/>
    </xf>
    <xf numFmtId="0" fontId="39" fillId="0" borderId="116" xfId="54" applyFont="1" applyFill="1" applyBorder="1" applyAlignment="1">
      <alignment vertical="top"/>
    </xf>
    <xf numFmtId="0" fontId="39" fillId="0" borderId="61" xfId="54" applyFont="1" applyFill="1" applyBorder="1" applyAlignment="1">
      <alignment vertical="top"/>
    </xf>
    <xf numFmtId="0" fontId="39" fillId="0" borderId="46" xfId="54" applyFont="1" applyFill="1" applyBorder="1" applyAlignment="1">
      <alignment vertical="top"/>
    </xf>
    <xf numFmtId="0" fontId="39" fillId="0" borderId="0" xfId="54" applyFont="1" applyFill="1" applyBorder="1" applyAlignment="1">
      <alignment vertical="top"/>
    </xf>
    <xf numFmtId="43" fontId="36" fillId="0" borderId="0" xfId="51" applyFont="1" applyFill="1" applyBorder="1" applyAlignment="1">
      <alignment vertical="top" wrapText="1"/>
    </xf>
    <xf numFmtId="43" fontId="36" fillId="0" borderId="0" xfId="51" applyFont="1" applyFill="1" applyAlignment="1">
      <alignment vertical="top"/>
    </xf>
    <xf numFmtId="0" fontId="36" fillId="0" borderId="0" xfId="54" applyFont="1" applyFill="1" applyAlignment="1">
      <alignment horizontal="center" vertical="top"/>
    </xf>
    <xf numFmtId="187" fontId="36" fillId="0" borderId="0" xfId="54" applyNumberFormat="1" applyFont="1" applyFill="1" applyAlignment="1">
      <alignment horizontal="center" vertical="top" shrinkToFit="1"/>
    </xf>
    <xf numFmtId="0" fontId="36" fillId="0" borderId="0" xfId="54" applyFont="1" applyFill="1" applyBorder="1" applyAlignment="1">
      <alignment vertical="top" wrapText="1"/>
    </xf>
    <xf numFmtId="0" fontId="36" fillId="0" borderId="0" xfId="54" applyFont="1" applyFill="1" applyAlignment="1">
      <alignment horizontal="center" vertical="top" shrinkToFit="1"/>
    </xf>
    <xf numFmtId="187" fontId="36" fillId="0" borderId="0" xfId="54" applyNumberFormat="1" applyFont="1" applyFill="1" applyAlignment="1">
      <alignment vertical="top"/>
    </xf>
    <xf numFmtId="0" fontId="36" fillId="0" borderId="0" xfId="54" applyFont="1" applyFill="1" applyAlignment="1">
      <alignment vertical="top" wrapText="1"/>
    </xf>
    <xf numFmtId="0" fontId="36" fillId="0" borderId="0" xfId="54" applyFont="1" applyFill="1" applyBorder="1"/>
    <xf numFmtId="43" fontId="36" fillId="0" borderId="0" xfId="51" applyFont="1" applyFill="1" applyBorder="1"/>
    <xf numFmtId="43" fontId="36" fillId="0" borderId="0" xfId="51" applyFont="1" applyFill="1" applyBorder="1" applyAlignment="1">
      <alignment horizontal="center"/>
    </xf>
    <xf numFmtId="0" fontId="36" fillId="0" borderId="103" xfId="54" applyFont="1" applyFill="1" applyBorder="1"/>
    <xf numFmtId="188" fontId="36" fillId="0" borderId="117" xfId="54" applyNumberFormat="1" applyFont="1" applyFill="1" applyBorder="1"/>
    <xf numFmtId="188" fontId="36" fillId="0" borderId="69" xfId="51" applyNumberFormat="1" applyFont="1" applyFill="1" applyBorder="1"/>
    <xf numFmtId="0" fontId="36" fillId="0" borderId="102" xfId="54" applyFont="1" applyFill="1" applyBorder="1" applyAlignment="1">
      <alignment vertical="top"/>
    </xf>
    <xf numFmtId="0" fontId="36" fillId="0" borderId="118" xfId="54" applyFont="1" applyFill="1" applyBorder="1"/>
    <xf numFmtId="188" fontId="39" fillId="0" borderId="115" xfId="51" applyNumberFormat="1" applyFont="1" applyFill="1" applyBorder="1"/>
    <xf numFmtId="0" fontId="36" fillId="0" borderId="103" xfId="54" applyFont="1" applyFill="1" applyBorder="1" applyAlignment="1">
      <alignment vertical="top"/>
    </xf>
    <xf numFmtId="188" fontId="39" fillId="0" borderId="117" xfId="51" applyNumberFormat="1" applyFont="1" applyFill="1" applyBorder="1"/>
    <xf numFmtId="0" fontId="36" fillId="0" borderId="100" xfId="54" applyFont="1" applyFill="1" applyBorder="1" applyAlignment="1">
      <alignment vertical="top"/>
    </xf>
    <xf numFmtId="43" fontId="39" fillId="0" borderId="100" xfId="51" applyFont="1" applyFill="1" applyBorder="1"/>
    <xf numFmtId="188" fontId="39" fillId="0" borderId="100" xfId="51" applyNumberFormat="1" applyFont="1" applyFill="1" applyBorder="1"/>
    <xf numFmtId="0" fontId="36" fillId="0" borderId="13" xfId="0" applyFont="1" applyFill="1" applyBorder="1" applyAlignment="1">
      <alignment horizontal="left" wrapText="1"/>
    </xf>
    <xf numFmtId="0" fontId="36" fillId="0" borderId="17" xfId="0" applyFont="1" applyFill="1" applyBorder="1" applyAlignment="1">
      <alignment horizontal="center"/>
    </xf>
    <xf numFmtId="0" fontId="36" fillId="0" borderId="17" xfId="35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top"/>
    </xf>
    <xf numFmtId="0" fontId="36" fillId="0" borderId="13" xfId="0" applyFont="1" applyFill="1" applyBorder="1" applyAlignment="1">
      <alignment horizontal="left" vertical="top"/>
    </xf>
    <xf numFmtId="187" fontId="36" fillId="0" borderId="14" xfId="50" applyNumberFormat="1" applyFont="1" applyFill="1" applyBorder="1" applyAlignment="1">
      <alignment vertical="top"/>
    </xf>
    <xf numFmtId="187" fontId="36" fillId="0" borderId="13" xfId="50" applyNumberFormat="1" applyFont="1" applyFill="1" applyBorder="1" applyAlignment="1">
      <alignment horizontal="center" vertical="top"/>
    </xf>
    <xf numFmtId="43" fontId="36" fillId="0" borderId="13" xfId="0" applyNumberFormat="1" applyFont="1" applyFill="1" applyBorder="1" applyAlignment="1">
      <alignment vertical="top"/>
    </xf>
    <xf numFmtId="43" fontId="36" fillId="0" borderId="14" xfId="0" applyNumberFormat="1" applyFont="1" applyFill="1" applyBorder="1" applyAlignment="1">
      <alignment vertical="top"/>
    </xf>
    <xf numFmtId="187" fontId="36" fillId="0" borderId="14" xfId="50" applyNumberFormat="1" applyFont="1" applyFill="1" applyBorder="1" applyAlignment="1">
      <alignment horizontal="center" vertical="top"/>
    </xf>
    <xf numFmtId="187" fontId="36" fillId="0" borderId="18" xfId="50" applyNumberFormat="1" applyFont="1" applyFill="1" applyBorder="1" applyAlignment="1">
      <alignment horizontal="center" vertical="top"/>
    </xf>
    <xf numFmtId="187" fontId="36" fillId="0" borderId="19" xfId="50" applyNumberFormat="1" applyFont="1" applyFill="1" applyBorder="1" applyAlignment="1">
      <alignment horizontal="center" vertical="top"/>
    </xf>
    <xf numFmtId="0" fontId="51" fillId="0" borderId="0" xfId="0" applyFont="1" applyFill="1" applyAlignment="1">
      <alignment horizontal="right"/>
    </xf>
    <xf numFmtId="0" fontId="39" fillId="0" borderId="20" xfId="0" applyFont="1" applyFill="1" applyBorder="1" applyAlignment="1">
      <alignment horizontal="center"/>
    </xf>
    <xf numFmtId="0" fontId="39" fillId="0" borderId="6" xfId="0" applyFont="1" applyFill="1" applyBorder="1" applyAlignment="1">
      <alignment horizontal="center"/>
    </xf>
    <xf numFmtId="0" fontId="39" fillId="0" borderId="87" xfId="0" applyFont="1" applyFill="1" applyBorder="1" applyAlignment="1">
      <alignment horizontal="center"/>
    </xf>
    <xf numFmtId="0" fontId="39" fillId="0" borderId="7" xfId="0" applyFont="1" applyFill="1" applyBorder="1" applyAlignment="1">
      <alignment horizontal="center"/>
    </xf>
    <xf numFmtId="0" fontId="39" fillId="0" borderId="11" xfId="0" applyFont="1" applyFill="1" applyBorder="1" applyAlignment="1">
      <alignment horizontal="center"/>
    </xf>
    <xf numFmtId="0" fontId="36" fillId="0" borderId="94" xfId="0" applyFont="1" applyFill="1" applyBorder="1" applyAlignment="1">
      <alignment horizontal="center" vertical="top" wrapText="1"/>
    </xf>
    <xf numFmtId="0" fontId="36" fillId="0" borderId="93" xfId="0" applyFont="1" applyFill="1" applyBorder="1" applyAlignment="1">
      <alignment horizontal="center" vertical="top"/>
    </xf>
    <xf numFmtId="0" fontId="51" fillId="0" borderId="0" xfId="0" applyFont="1" applyFill="1" applyAlignment="1">
      <alignment horizontal="left" vertical="top"/>
    </xf>
    <xf numFmtId="0" fontId="36" fillId="0" borderId="11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/>
    </xf>
    <xf numFmtId="0" fontId="36" fillId="0" borderId="15" xfId="0" applyFont="1" applyFill="1" applyBorder="1" applyAlignment="1">
      <alignment vertical="top" wrapText="1"/>
    </xf>
    <xf numFmtId="0" fontId="36" fillId="0" borderId="13" xfId="0" applyFont="1" applyFill="1" applyBorder="1" applyAlignment="1">
      <alignment horizontal="center" vertical="top"/>
    </xf>
    <xf numFmtId="0" fontId="51" fillId="0" borderId="0" xfId="0" applyFont="1" applyFill="1" applyAlignment="1">
      <alignment vertical="top" wrapText="1"/>
    </xf>
    <xf numFmtId="49" fontId="36" fillId="0" borderId="0" xfId="0" applyNumberFormat="1" applyFont="1" applyFill="1" applyAlignment="1">
      <alignment vertical="top"/>
    </xf>
    <xf numFmtId="43" fontId="51" fillId="0" borderId="0" xfId="0" applyNumberFormat="1" applyFont="1" applyFill="1" applyAlignment="1">
      <alignment horizontal="left" vertical="top"/>
    </xf>
    <xf numFmtId="0" fontId="36" fillId="0" borderId="15" xfId="0" applyFont="1" applyFill="1" applyBorder="1" applyAlignment="1" applyProtection="1">
      <alignment vertical="center" wrapText="1"/>
    </xf>
    <xf numFmtId="0" fontId="36" fillId="0" borderId="136" xfId="0" applyFont="1" applyFill="1" applyBorder="1" applyAlignment="1" applyProtection="1">
      <alignment vertical="center" wrapText="1"/>
    </xf>
    <xf numFmtId="0" fontId="36" fillId="0" borderId="75" xfId="0" applyFont="1" applyFill="1" applyBorder="1" applyAlignment="1">
      <alignment horizontal="center" vertical="top"/>
    </xf>
    <xf numFmtId="187" fontId="36" fillId="0" borderId="35" xfId="50" applyNumberFormat="1" applyFont="1" applyFill="1" applyBorder="1" applyAlignment="1">
      <alignment vertical="top"/>
    </xf>
    <xf numFmtId="0" fontId="36" fillId="0" borderId="95" xfId="0" applyFont="1" applyFill="1" applyBorder="1" applyAlignment="1">
      <alignment horizontal="center" vertical="top" wrapText="1"/>
    </xf>
    <xf numFmtId="0" fontId="36" fillId="0" borderId="35" xfId="0" applyFont="1" applyFill="1" applyBorder="1" applyAlignment="1">
      <alignment horizontal="center" vertical="top"/>
    </xf>
    <xf numFmtId="188" fontId="39" fillId="0" borderId="35" xfId="50" applyNumberFormat="1" applyFont="1" applyFill="1" applyBorder="1" applyAlignment="1">
      <alignment vertical="top"/>
    </xf>
    <xf numFmtId="0" fontId="36" fillId="0" borderId="95" xfId="0" applyFont="1" applyFill="1" applyBorder="1" applyAlignment="1">
      <alignment horizontal="center" vertical="top"/>
    </xf>
    <xf numFmtId="187" fontId="39" fillId="0" borderId="34" xfId="0" applyNumberFormat="1" applyFont="1" applyFill="1" applyBorder="1" applyAlignment="1">
      <alignment vertical="top"/>
    </xf>
    <xf numFmtId="0" fontId="39" fillId="0" borderId="47" xfId="0" applyFont="1" applyFill="1" applyBorder="1" applyAlignment="1">
      <alignment horizontal="center" vertical="top"/>
    </xf>
    <xf numFmtId="187" fontId="39" fillId="0" borderId="48" xfId="0" applyNumberFormat="1" applyFont="1" applyFill="1" applyBorder="1" applyAlignment="1">
      <alignment vertical="top"/>
    </xf>
    <xf numFmtId="187" fontId="39" fillId="0" borderId="101" xfId="0" applyNumberFormat="1" applyFont="1" applyFill="1" applyBorder="1" applyAlignment="1">
      <alignment horizontal="center" vertical="top"/>
    </xf>
    <xf numFmtId="187" fontId="39" fillId="0" borderId="48" xfId="0" applyNumberFormat="1" applyFont="1" applyFill="1" applyBorder="1" applyAlignment="1">
      <alignment horizontal="center" vertical="top"/>
    </xf>
    <xf numFmtId="187" fontId="39" fillId="0" borderId="49" xfId="0" applyNumberFormat="1" applyFont="1" applyFill="1" applyBorder="1" applyAlignment="1">
      <alignment vertical="top"/>
    </xf>
    <xf numFmtId="187" fontId="36" fillId="0" borderId="0" xfId="50" applyNumberFormat="1" applyFont="1" applyFill="1"/>
    <xf numFmtId="43" fontId="51" fillId="0" borderId="0" xfId="0" applyNumberFormat="1" applyFont="1" applyFill="1" applyAlignment="1">
      <alignment horizontal="right"/>
    </xf>
    <xf numFmtId="0" fontId="51" fillId="0" borderId="0" xfId="0" applyFont="1" applyFill="1" applyAlignment="1">
      <alignment horizontal="right" vertical="top"/>
    </xf>
    <xf numFmtId="0" fontId="26" fillId="0" borderId="0" xfId="0" applyFont="1" applyFill="1" applyAlignment="1">
      <alignment horizontal="left"/>
    </xf>
    <xf numFmtId="0" fontId="54" fillId="0" borderId="0" xfId="0" applyFont="1" applyFill="1"/>
    <xf numFmtId="0" fontId="53" fillId="0" borderId="0" xfId="0" applyFont="1" applyFill="1"/>
    <xf numFmtId="0" fontId="54" fillId="0" borderId="0" xfId="0" applyFont="1" applyFill="1" applyAlignment="1">
      <alignment horizontal="right"/>
    </xf>
    <xf numFmtId="0" fontId="36" fillId="0" borderId="63" xfId="0" applyFont="1" applyFill="1" applyBorder="1"/>
    <xf numFmtId="187" fontId="36" fillId="0" borderId="27" xfId="50" applyNumberFormat="1" applyFont="1" applyFill="1" applyBorder="1"/>
    <xf numFmtId="187" fontId="39" fillId="0" borderId="27" xfId="50" applyNumberFormat="1" applyFont="1" applyFill="1" applyBorder="1"/>
    <xf numFmtId="188" fontId="36" fillId="0" borderId="27" xfId="1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187" fontId="36" fillId="0" borderId="39" xfId="0" applyNumberFormat="1" applyFont="1" applyFill="1" applyBorder="1"/>
    <xf numFmtId="0" fontId="36" fillId="0" borderId="0" xfId="0" applyFont="1" applyFill="1" applyAlignment="1">
      <alignment horizontal="left"/>
    </xf>
    <xf numFmtId="187" fontId="36" fillId="0" borderId="14" xfId="0" applyNumberFormat="1" applyFont="1" applyFill="1" applyBorder="1" applyAlignment="1">
      <alignment vertical="top"/>
    </xf>
    <xf numFmtId="0" fontId="36" fillId="0" borderId="0" xfId="0" applyFont="1" applyFill="1" applyAlignment="1">
      <alignment horizontal="left" vertical="top"/>
    </xf>
    <xf numFmtId="187" fontId="36" fillId="0" borderId="13" xfId="50" applyNumberFormat="1" applyFont="1" applyFill="1" applyBorder="1" applyAlignment="1">
      <alignment vertical="top" wrapText="1"/>
    </xf>
    <xf numFmtId="188" fontId="36" fillId="0" borderId="13" xfId="50" applyNumberFormat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6" fillId="0" borderId="0" xfId="0" applyFont="1" applyFill="1" applyAlignment="1">
      <alignment horizontal="left" vertical="top" wrapText="1"/>
    </xf>
    <xf numFmtId="0" fontId="36" fillId="0" borderId="36" xfId="0" applyFont="1" applyFill="1" applyBorder="1" applyAlignment="1">
      <alignment vertical="top" wrapText="1"/>
    </xf>
    <xf numFmtId="188" fontId="36" fillId="0" borderId="13" xfId="51" applyNumberFormat="1" applyFont="1" applyFill="1" applyBorder="1" applyAlignment="1">
      <alignment horizontal="center" vertical="top" wrapText="1"/>
    </xf>
    <xf numFmtId="187" fontId="36" fillId="0" borderId="81" xfId="50" applyNumberFormat="1" applyFont="1" applyFill="1" applyBorder="1" applyAlignment="1">
      <alignment vertical="top"/>
    </xf>
    <xf numFmtId="187" fontId="39" fillId="0" borderId="81" xfId="50" applyNumberFormat="1" applyFont="1" applyFill="1" applyBorder="1" applyAlignment="1">
      <alignment vertical="top"/>
    </xf>
    <xf numFmtId="0" fontId="36" fillId="0" borderId="81" xfId="0" applyFont="1" applyFill="1" applyBorder="1" applyAlignment="1">
      <alignment horizontal="center" vertical="top"/>
    </xf>
    <xf numFmtId="187" fontId="36" fillId="0" borderId="82" xfId="0" applyNumberFormat="1" applyFont="1" applyFill="1" applyBorder="1" applyAlignment="1">
      <alignment vertical="top"/>
    </xf>
    <xf numFmtId="0" fontId="39" fillId="0" borderId="59" xfId="0" applyFont="1" applyFill="1" applyBorder="1" applyAlignment="1">
      <alignment horizontal="center" vertical="top"/>
    </xf>
    <xf numFmtId="187" fontId="39" fillId="0" borderId="32" xfId="0" applyNumberFormat="1" applyFont="1" applyFill="1" applyBorder="1" applyAlignment="1">
      <alignment vertical="top"/>
    </xf>
    <xf numFmtId="187" fontId="39" fillId="0" borderId="32" xfId="50" applyNumberFormat="1" applyFont="1" applyFill="1" applyBorder="1" applyAlignment="1">
      <alignment vertical="top"/>
    </xf>
    <xf numFmtId="187" fontId="39" fillId="0" borderId="61" xfId="0" applyNumberFormat="1" applyFont="1" applyFill="1" applyBorder="1" applyAlignment="1">
      <alignment vertical="top"/>
    </xf>
    <xf numFmtId="49" fontId="49" fillId="0" borderId="0" xfId="0" applyNumberFormat="1" applyFont="1" applyFill="1"/>
    <xf numFmtId="0" fontId="36" fillId="0" borderId="11" xfId="0" applyFont="1" applyFill="1" applyBorder="1"/>
    <xf numFmtId="192" fontId="36" fillId="0" borderId="0" xfId="0" applyNumberFormat="1" applyFont="1" applyFill="1"/>
    <xf numFmtId="0" fontId="57" fillId="0" borderId="0" xfId="0" applyFont="1" applyFill="1" applyAlignment="1">
      <alignment vertical="center"/>
    </xf>
    <xf numFmtId="0" fontId="58" fillId="0" borderId="0" xfId="0" applyFont="1" applyFill="1" applyBorder="1" applyAlignment="1">
      <alignment horizontal="left" vertical="center"/>
    </xf>
    <xf numFmtId="0" fontId="58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/>
    </xf>
    <xf numFmtId="188" fontId="57" fillId="0" borderId="0" xfId="50" applyNumberFormat="1" applyFont="1" applyFill="1" applyBorder="1" applyAlignment="1">
      <alignment horizontal="right" vertical="center"/>
    </xf>
    <xf numFmtId="0" fontId="57" fillId="0" borderId="0" xfId="0" applyFont="1" applyFill="1" applyBorder="1" applyAlignment="1">
      <alignment horizontal="center" vertical="center" wrapText="1"/>
    </xf>
    <xf numFmtId="187" fontId="57" fillId="0" borderId="0" xfId="50" applyNumberFormat="1" applyFont="1" applyFill="1" applyBorder="1" applyAlignment="1">
      <alignment vertical="center"/>
    </xf>
    <xf numFmtId="187" fontId="57" fillId="0" borderId="0" xfId="50" applyNumberFormat="1" applyFont="1" applyFill="1" applyBorder="1" applyAlignment="1">
      <alignment horizontal="center" vertical="center"/>
    </xf>
    <xf numFmtId="187" fontId="57" fillId="0" borderId="0" xfId="50" applyNumberFormat="1" applyFont="1" applyFill="1" applyBorder="1" applyAlignment="1">
      <alignment vertical="center" wrapText="1"/>
    </xf>
    <xf numFmtId="3" fontId="57" fillId="0" borderId="0" xfId="0" applyNumberFormat="1" applyFont="1" applyFill="1" applyBorder="1" applyAlignment="1">
      <alignment horizontal="center" vertical="center"/>
    </xf>
    <xf numFmtId="0" fontId="58" fillId="0" borderId="105" xfId="0" applyFont="1" applyFill="1" applyBorder="1" applyAlignment="1">
      <alignment horizontal="center" vertical="center" wrapText="1"/>
    </xf>
    <xf numFmtId="0" fontId="58" fillId="0" borderId="102" xfId="0" applyFont="1" applyFill="1" applyBorder="1" applyAlignment="1">
      <alignment horizontal="center" vertical="center" wrapText="1"/>
    </xf>
    <xf numFmtId="0" fontId="58" fillId="0" borderId="59" xfId="0" applyFont="1" applyFill="1" applyBorder="1" applyAlignment="1">
      <alignment horizontal="center" vertical="center" wrapText="1"/>
    </xf>
    <xf numFmtId="0" fontId="58" fillId="0" borderId="32" xfId="0" applyFont="1" applyFill="1" applyBorder="1" applyAlignment="1">
      <alignment horizontal="center" vertical="center" wrapText="1"/>
    </xf>
    <xf numFmtId="3" fontId="58" fillId="0" borderId="32" xfId="0" applyNumberFormat="1" applyFont="1" applyFill="1" applyBorder="1" applyAlignment="1">
      <alignment horizontal="center" vertical="center" wrapText="1"/>
    </xf>
    <xf numFmtId="187" fontId="58" fillId="0" borderId="61" xfId="50" applyFont="1" applyFill="1" applyBorder="1" applyAlignment="1">
      <alignment horizontal="center" vertical="center" wrapText="1"/>
    </xf>
    <xf numFmtId="0" fontId="58" fillId="0" borderId="60" xfId="0" applyFont="1" applyFill="1" applyBorder="1" applyAlignment="1">
      <alignment horizontal="center" vertical="center" wrapText="1"/>
    </xf>
    <xf numFmtId="0" fontId="58" fillId="0" borderId="61" xfId="0" applyFont="1" applyFill="1" applyBorder="1" applyAlignment="1">
      <alignment horizontal="center" vertical="center" wrapText="1"/>
    </xf>
    <xf numFmtId="187" fontId="58" fillId="0" borderId="20" xfId="50" applyNumberFormat="1" applyFont="1" applyFill="1" applyBorder="1" applyAlignment="1">
      <alignment horizontal="left" vertical="top"/>
    </xf>
    <xf numFmtId="187" fontId="58" fillId="0" borderId="87" xfId="50" applyNumberFormat="1" applyFont="1" applyFill="1" applyBorder="1" applyAlignment="1">
      <alignment vertical="top"/>
    </xf>
    <xf numFmtId="187" fontId="58" fillId="0" borderId="114" xfId="50" applyNumberFormat="1" applyFont="1" applyFill="1" applyBorder="1" applyAlignment="1">
      <alignment vertical="top"/>
    </xf>
    <xf numFmtId="187" fontId="58" fillId="0" borderId="4" xfId="50" applyNumberFormat="1" applyFont="1" applyFill="1" applyBorder="1" applyAlignment="1">
      <alignment vertical="top"/>
    </xf>
    <xf numFmtId="187" fontId="58" fillId="0" borderId="6" xfId="50" applyNumberFormat="1" applyFont="1" applyFill="1" applyBorder="1" applyAlignment="1">
      <alignment vertical="top"/>
    </xf>
    <xf numFmtId="187" fontId="58" fillId="0" borderId="5" xfId="50" applyNumberFormat="1" applyFont="1" applyFill="1" applyBorder="1" applyAlignment="1">
      <alignment vertical="top"/>
    </xf>
    <xf numFmtId="3" fontId="58" fillId="0" borderId="6" xfId="50" applyNumberFormat="1" applyFont="1" applyFill="1" applyBorder="1" applyAlignment="1">
      <alignment horizontal="right" vertical="top"/>
    </xf>
    <xf numFmtId="187" fontId="58" fillId="0" borderId="6" xfId="50" applyFont="1" applyFill="1" applyBorder="1" applyAlignment="1">
      <alignment horizontal="center" vertical="top" wrapText="1"/>
    </xf>
    <xf numFmtId="187" fontId="58" fillId="0" borderId="7" xfId="50" applyFont="1" applyFill="1" applyBorder="1" applyAlignment="1">
      <alignment vertical="top"/>
    </xf>
    <xf numFmtId="0" fontId="58" fillId="0" borderId="87" xfId="0" applyFont="1" applyFill="1" applyBorder="1" applyAlignment="1">
      <alignment vertical="top" wrapText="1"/>
    </xf>
    <xf numFmtId="188" fontId="58" fillId="0" borderId="6" xfId="50" applyNumberFormat="1" applyFont="1" applyFill="1" applyBorder="1" applyAlignment="1">
      <alignment horizontal="center" vertical="top"/>
    </xf>
    <xf numFmtId="0" fontId="58" fillId="0" borderId="6" xfId="0" applyFont="1" applyFill="1" applyBorder="1" applyAlignment="1">
      <alignment horizontal="center" vertical="top" shrinkToFit="1"/>
    </xf>
    <xf numFmtId="43" fontId="58" fillId="0" borderId="7" xfId="0" applyNumberFormat="1" applyFont="1" applyFill="1" applyBorder="1" applyAlignment="1">
      <alignment vertical="top"/>
    </xf>
    <xf numFmtId="191" fontId="58" fillId="0" borderId="5" xfId="50" applyNumberFormat="1" applyFont="1" applyFill="1" applyBorder="1" applyAlignment="1">
      <alignment vertical="top"/>
    </xf>
    <xf numFmtId="191" fontId="58" fillId="0" borderId="6" xfId="50" applyNumberFormat="1" applyFont="1" applyFill="1" applyBorder="1" applyAlignment="1">
      <alignment vertical="top"/>
    </xf>
    <xf numFmtId="191" fontId="58" fillId="0" borderId="7" xfId="50" applyNumberFormat="1" applyFont="1" applyFill="1" applyBorder="1" applyAlignment="1">
      <alignment vertical="top" shrinkToFit="1"/>
    </xf>
    <xf numFmtId="187" fontId="58" fillId="0" borderId="0" xfId="50" applyFont="1" applyFill="1" applyAlignment="1">
      <alignment vertical="top"/>
    </xf>
    <xf numFmtId="0" fontId="57" fillId="0" borderId="66" xfId="0" applyFont="1" applyFill="1" applyBorder="1" applyAlignment="1">
      <alignment horizontal="center" vertical="top"/>
    </xf>
    <xf numFmtId="0" fontId="57" fillId="0" borderId="112" xfId="0" applyFont="1" applyFill="1" applyBorder="1" applyAlignment="1">
      <alignment horizontal="left" vertical="top" wrapText="1"/>
    </xf>
    <xf numFmtId="0" fontId="57" fillId="0" borderId="104" xfId="0" applyFont="1" applyFill="1" applyBorder="1" applyAlignment="1">
      <alignment horizontal="left" vertical="top" wrapText="1"/>
    </xf>
    <xf numFmtId="187" fontId="57" fillId="0" borderId="8" xfId="50" applyNumberFormat="1" applyFont="1" applyFill="1" applyBorder="1" applyAlignment="1">
      <alignment vertical="top"/>
    </xf>
    <xf numFmtId="187" fontId="57" fillId="0" borderId="9" xfId="41" applyNumberFormat="1" applyFont="1" applyFill="1" applyBorder="1" applyAlignment="1">
      <alignment vertical="top"/>
    </xf>
    <xf numFmtId="187" fontId="57" fillId="0" borderId="65" xfId="41" applyNumberFormat="1" applyFont="1" applyFill="1" applyBorder="1" applyAlignment="1">
      <alignment vertical="top"/>
    </xf>
    <xf numFmtId="187" fontId="63" fillId="0" borderId="9" xfId="50" applyFont="1" applyFill="1" applyBorder="1" applyAlignment="1">
      <alignment vertical="top"/>
    </xf>
    <xf numFmtId="188" fontId="57" fillId="0" borderId="9" xfId="41" applyNumberFormat="1" applyFont="1" applyFill="1" applyBorder="1" applyAlignment="1">
      <alignment vertical="top"/>
    </xf>
    <xf numFmtId="187" fontId="57" fillId="0" borderId="9" xfId="41" applyNumberFormat="1" applyFont="1" applyFill="1" applyBorder="1" applyAlignment="1">
      <alignment horizontal="center" vertical="top"/>
    </xf>
    <xf numFmtId="187" fontId="63" fillId="0" borderId="10" xfId="50" applyFont="1" applyFill="1" applyBorder="1" applyAlignment="1">
      <alignment vertical="top"/>
    </xf>
    <xf numFmtId="0" fontId="57" fillId="0" borderId="92" xfId="0" applyFont="1" applyFill="1" applyBorder="1" applyAlignment="1">
      <alignment vertical="top" wrapText="1"/>
    </xf>
    <xf numFmtId="0" fontId="57" fillId="0" borderId="93" xfId="0" applyFont="1" applyFill="1" applyBorder="1" applyAlignment="1">
      <alignment vertical="top" wrapText="1"/>
    </xf>
    <xf numFmtId="187" fontId="57" fillId="0" borderId="93" xfId="50" applyNumberFormat="1" applyFont="1" applyFill="1" applyBorder="1" applyAlignment="1">
      <alignment vertical="top"/>
    </xf>
    <xf numFmtId="187" fontId="58" fillId="0" borderId="93" xfId="50" applyNumberFormat="1" applyFont="1" applyFill="1" applyBorder="1" applyAlignment="1">
      <alignment vertical="top"/>
    </xf>
    <xf numFmtId="188" fontId="57" fillId="0" borderId="93" xfId="50" applyNumberFormat="1" applyFont="1" applyFill="1" applyBorder="1" applyAlignment="1">
      <alignment horizontal="center" vertical="top"/>
    </xf>
    <xf numFmtId="187" fontId="58" fillId="0" borderId="91" xfId="50" applyNumberFormat="1" applyFont="1" applyFill="1" applyBorder="1" applyAlignment="1">
      <alignment vertical="top"/>
    </xf>
    <xf numFmtId="43" fontId="57" fillId="0" borderId="65" xfId="50" applyNumberFormat="1" applyFont="1" applyFill="1" applyBorder="1" applyAlignment="1">
      <alignment vertical="top" shrinkToFit="1"/>
    </xf>
    <xf numFmtId="43" fontId="57" fillId="0" borderId="9" xfId="50" applyNumberFormat="1" applyFont="1" applyFill="1" applyBorder="1" applyAlignment="1">
      <alignment vertical="top" shrinkToFit="1"/>
    </xf>
    <xf numFmtId="43" fontId="57" fillId="0" borderId="10" xfId="50" applyNumberFormat="1" applyFont="1" applyFill="1" applyBorder="1" applyAlignment="1">
      <alignment vertical="top" shrinkToFit="1"/>
    </xf>
    <xf numFmtId="0" fontId="57" fillId="0" borderId="38" xfId="0" applyFont="1" applyFill="1" applyBorder="1" applyAlignment="1">
      <alignment vertical="top"/>
    </xf>
    <xf numFmtId="0" fontId="57" fillId="0" borderId="44" xfId="0" applyFont="1" applyFill="1" applyBorder="1" applyAlignment="1">
      <alignment vertical="top" wrapText="1"/>
    </xf>
    <xf numFmtId="188" fontId="57" fillId="0" borderId="11" xfId="50" applyNumberFormat="1" applyFont="1" applyFill="1" applyBorder="1" applyAlignment="1">
      <alignment horizontal="center" vertical="top"/>
    </xf>
    <xf numFmtId="0" fontId="57" fillId="0" borderId="11" xfId="0" applyFont="1" applyFill="1" applyBorder="1" applyAlignment="1">
      <alignment horizontal="center" vertical="top" shrinkToFit="1"/>
    </xf>
    <xf numFmtId="0" fontId="57" fillId="0" borderId="15" xfId="0" applyFont="1" applyFill="1" applyBorder="1" applyAlignment="1">
      <alignment horizontal="center" vertical="top"/>
    </xf>
    <xf numFmtId="0" fontId="57" fillId="0" borderId="16" xfId="0" applyFont="1" applyFill="1" applyBorder="1" applyAlignment="1">
      <alignment horizontal="left" vertical="top" wrapText="1"/>
    </xf>
    <xf numFmtId="0" fontId="57" fillId="0" borderId="75" xfId="0" applyFont="1" applyFill="1" applyBorder="1" applyAlignment="1">
      <alignment horizontal="left" vertical="top" wrapText="1"/>
    </xf>
    <xf numFmtId="187" fontId="57" fillId="0" borderId="12" xfId="50" applyNumberFormat="1" applyFont="1" applyFill="1" applyBorder="1" applyAlignment="1">
      <alignment vertical="top"/>
    </xf>
    <xf numFmtId="187" fontId="57" fillId="0" borderId="13" xfId="41" applyNumberFormat="1" applyFont="1" applyFill="1" applyBorder="1" applyAlignment="1">
      <alignment vertical="top"/>
    </xf>
    <xf numFmtId="187" fontId="57" fillId="0" borderId="54" xfId="41" applyNumberFormat="1" applyFont="1" applyFill="1" applyBorder="1" applyAlignment="1">
      <alignment vertical="top"/>
    </xf>
    <xf numFmtId="187" fontId="63" fillId="0" borderId="13" xfId="50" applyFont="1" applyFill="1" applyBorder="1" applyAlignment="1">
      <alignment vertical="top"/>
    </xf>
    <xf numFmtId="188" fontId="57" fillId="0" borderId="13" xfId="41" applyNumberFormat="1" applyFont="1" applyFill="1" applyBorder="1" applyAlignment="1">
      <alignment vertical="top"/>
    </xf>
    <xf numFmtId="187" fontId="57" fillId="0" borderId="13" xfId="41" applyNumberFormat="1" applyFont="1" applyFill="1" applyBorder="1" applyAlignment="1">
      <alignment horizontal="center" vertical="top"/>
    </xf>
    <xf numFmtId="187" fontId="63" fillId="0" borderId="14" xfId="50" applyFont="1" applyFill="1" applyBorder="1" applyAlignment="1">
      <alignment vertical="top"/>
    </xf>
    <xf numFmtId="0" fontId="57" fillId="0" borderId="66" xfId="0" applyFont="1" applyFill="1" applyBorder="1" applyAlignment="1">
      <alignment vertical="top" wrapText="1"/>
    </xf>
    <xf numFmtId="0" fontId="57" fillId="0" borderId="9" xfId="0" applyFont="1" applyFill="1" applyBorder="1" applyAlignment="1">
      <alignment vertical="top" wrapText="1"/>
    </xf>
    <xf numFmtId="187" fontId="57" fillId="0" borderId="9" xfId="50" applyNumberFormat="1" applyFont="1" applyFill="1" applyBorder="1" applyAlignment="1">
      <alignment vertical="top"/>
    </xf>
    <xf numFmtId="187" fontId="58" fillId="0" borderId="13" xfId="50" applyNumberFormat="1" applyFont="1" applyFill="1" applyBorder="1" applyAlignment="1">
      <alignment vertical="top"/>
    </xf>
    <xf numFmtId="188" fontId="57" fillId="0" borderId="9" xfId="50" applyNumberFormat="1" applyFont="1" applyFill="1" applyBorder="1" applyAlignment="1">
      <alignment horizontal="center" vertical="top"/>
    </xf>
    <xf numFmtId="187" fontId="58" fillId="0" borderId="14" xfId="50" applyNumberFormat="1" applyFont="1" applyFill="1" applyBorder="1" applyAlignment="1">
      <alignment vertical="top"/>
    </xf>
    <xf numFmtId="43" fontId="57" fillId="0" borderId="54" xfId="50" applyNumberFormat="1" applyFont="1" applyFill="1" applyBorder="1" applyAlignment="1">
      <alignment vertical="top" shrinkToFit="1"/>
    </xf>
    <xf numFmtId="43" fontId="57" fillId="0" borderId="13" xfId="50" applyNumberFormat="1" applyFont="1" applyFill="1" applyBorder="1" applyAlignment="1">
      <alignment vertical="top" shrinkToFit="1"/>
    </xf>
    <xf numFmtId="43" fontId="57" fillId="0" borderId="14" xfId="50" applyNumberFormat="1" applyFont="1" applyFill="1" applyBorder="1" applyAlignment="1">
      <alignment vertical="top" shrinkToFit="1"/>
    </xf>
    <xf numFmtId="0" fontId="57" fillId="0" borderId="16" xfId="0" applyFont="1" applyFill="1" applyBorder="1" applyAlignment="1">
      <alignment vertical="top" wrapText="1"/>
    </xf>
    <xf numFmtId="0" fontId="57" fillId="0" borderId="75" xfId="0" applyFont="1" applyFill="1" applyBorder="1" applyAlignment="1">
      <alignment vertical="top" wrapText="1"/>
    </xf>
    <xf numFmtId="0" fontId="57" fillId="0" borderId="29" xfId="0" applyFont="1" applyFill="1" applyBorder="1" applyAlignment="1">
      <alignment vertical="top"/>
    </xf>
    <xf numFmtId="0" fontId="57" fillId="0" borderId="30" xfId="0" applyFont="1" applyFill="1" applyBorder="1" applyAlignment="1">
      <alignment vertical="top" wrapText="1"/>
    </xf>
    <xf numFmtId="188" fontId="57" fillId="0" borderId="31" xfId="50" applyNumberFormat="1" applyFont="1" applyFill="1" applyBorder="1" applyAlignment="1">
      <alignment horizontal="center" vertical="top"/>
    </xf>
    <xf numFmtId="0" fontId="57" fillId="0" borderId="12" xfId="0" applyFont="1" applyFill="1" applyBorder="1" applyAlignment="1">
      <alignment horizontal="center" vertical="top"/>
    </xf>
    <xf numFmtId="0" fontId="57" fillId="0" borderId="0" xfId="0" applyFont="1" applyFill="1" applyBorder="1" applyAlignment="1">
      <alignment vertical="top"/>
    </xf>
    <xf numFmtId="0" fontId="57" fillId="0" borderId="0" xfId="0" applyFont="1" applyFill="1" applyBorder="1" applyAlignment="1">
      <alignment vertical="top" wrapText="1"/>
    </xf>
    <xf numFmtId="188" fontId="57" fillId="0" borderId="0" xfId="50" applyNumberFormat="1" applyFont="1" applyFill="1" applyBorder="1" applyAlignment="1">
      <alignment horizontal="center" vertical="top"/>
    </xf>
    <xf numFmtId="0" fontId="57" fillId="0" borderId="0" xfId="0" applyFont="1" applyFill="1" applyBorder="1" applyAlignment="1">
      <alignment horizontal="center" vertical="top" shrinkToFit="1"/>
    </xf>
    <xf numFmtId="0" fontId="57" fillId="0" borderId="28" xfId="0" applyFont="1" applyFill="1" applyBorder="1" applyAlignment="1">
      <alignment horizontal="center" vertical="top"/>
    </xf>
    <xf numFmtId="0" fontId="57" fillId="0" borderId="113" xfId="0" applyFont="1" applyFill="1" applyBorder="1" applyAlignment="1">
      <alignment vertical="top" wrapText="1"/>
    </xf>
    <xf numFmtId="0" fontId="57" fillId="0" borderId="124" xfId="0" applyFont="1" applyFill="1" applyBorder="1" applyAlignment="1">
      <alignment vertical="top" wrapText="1"/>
    </xf>
    <xf numFmtId="187" fontId="57" fillId="0" borderId="28" xfId="50" applyNumberFormat="1" applyFont="1" applyFill="1" applyBorder="1" applyAlignment="1">
      <alignment vertical="top"/>
    </xf>
    <xf numFmtId="187" fontId="57" fillId="0" borderId="18" xfId="41" applyNumberFormat="1" applyFont="1" applyFill="1" applyBorder="1" applyAlignment="1">
      <alignment vertical="top"/>
    </xf>
    <xf numFmtId="187" fontId="57" fillId="0" borderId="55" xfId="41" applyNumberFormat="1" applyFont="1" applyFill="1" applyBorder="1" applyAlignment="1">
      <alignment vertical="top"/>
    </xf>
    <xf numFmtId="187" fontId="63" fillId="0" borderId="18" xfId="50" applyFont="1" applyFill="1" applyBorder="1" applyAlignment="1">
      <alignment vertical="top"/>
    </xf>
    <xf numFmtId="188" fontId="57" fillId="0" borderId="18" xfId="41" applyNumberFormat="1" applyFont="1" applyFill="1" applyBorder="1" applyAlignment="1">
      <alignment vertical="top"/>
    </xf>
    <xf numFmtId="187" fontId="57" fillId="0" borderId="18" xfId="41" applyNumberFormat="1" applyFont="1" applyFill="1" applyBorder="1" applyAlignment="1">
      <alignment horizontal="center" vertical="top"/>
    </xf>
    <xf numFmtId="187" fontId="63" fillId="0" borderId="19" xfId="50" applyFont="1" applyFill="1" applyBorder="1" applyAlignment="1">
      <alignment vertical="top"/>
    </xf>
    <xf numFmtId="0" fontId="57" fillId="0" borderId="52" xfId="0" applyFont="1" applyFill="1" applyBorder="1" applyAlignment="1">
      <alignment vertical="top" wrapText="1"/>
    </xf>
    <xf numFmtId="0" fontId="57" fillId="0" borderId="21" xfId="0" applyFont="1" applyFill="1" applyBorder="1" applyAlignment="1">
      <alignment vertical="top" wrapText="1"/>
    </xf>
    <xf numFmtId="187" fontId="57" fillId="0" borderId="21" xfId="50" applyNumberFormat="1" applyFont="1" applyFill="1" applyBorder="1" applyAlignment="1">
      <alignment vertical="top"/>
    </xf>
    <xf numFmtId="187" fontId="58" fillId="0" borderId="18" xfId="50" applyNumberFormat="1" applyFont="1" applyFill="1" applyBorder="1" applyAlignment="1">
      <alignment vertical="top"/>
    </xf>
    <xf numFmtId="187" fontId="58" fillId="0" borderId="19" xfId="50" applyNumberFormat="1" applyFont="1" applyFill="1" applyBorder="1" applyAlignment="1">
      <alignment vertical="top"/>
    </xf>
    <xf numFmtId="43" fontId="57" fillId="0" borderId="55" xfId="50" applyNumberFormat="1" applyFont="1" applyFill="1" applyBorder="1" applyAlignment="1">
      <alignment vertical="top" shrinkToFit="1"/>
    </xf>
    <xf numFmtId="43" fontId="57" fillId="0" borderId="18" xfId="50" applyNumberFormat="1" applyFont="1" applyFill="1" applyBorder="1" applyAlignment="1">
      <alignment vertical="top" shrinkToFit="1"/>
    </xf>
    <xf numFmtId="43" fontId="57" fillId="0" borderId="19" xfId="50" applyNumberFormat="1" applyFont="1" applyFill="1" applyBorder="1" applyAlignment="1">
      <alignment vertical="top" shrinkToFit="1"/>
    </xf>
    <xf numFmtId="0" fontId="58" fillId="0" borderId="20" xfId="0" applyFont="1" applyFill="1" applyBorder="1" applyAlignment="1">
      <alignment horizontal="center" vertical="top"/>
    </xf>
    <xf numFmtId="0" fontId="58" fillId="0" borderId="114" xfId="0" applyFont="1" applyFill="1" applyBorder="1" applyAlignment="1">
      <alignment vertical="top" wrapText="1"/>
    </xf>
    <xf numFmtId="0" fontId="58" fillId="0" borderId="6" xfId="50" applyNumberFormat="1" applyFont="1" applyFill="1" applyBorder="1" applyAlignment="1">
      <alignment horizontal="right" vertical="top"/>
    </xf>
    <xf numFmtId="187" fontId="58" fillId="0" borderId="6" xfId="50" applyFont="1" applyFill="1" applyBorder="1" applyAlignment="1">
      <alignment horizontal="center" vertical="top" shrinkToFit="1"/>
    </xf>
    <xf numFmtId="187" fontId="58" fillId="0" borderId="7" xfId="50" applyFont="1" applyFill="1" applyBorder="1" applyAlignment="1">
      <alignment vertical="top" shrinkToFit="1"/>
    </xf>
    <xf numFmtId="0" fontId="58" fillId="0" borderId="20" xfId="0" applyFont="1" applyFill="1" applyBorder="1" applyAlignment="1">
      <alignment vertical="top"/>
    </xf>
    <xf numFmtId="0" fontId="58" fillId="0" borderId="6" xfId="0" applyFont="1" applyFill="1" applyBorder="1" applyAlignment="1">
      <alignment vertical="top" wrapText="1"/>
    </xf>
    <xf numFmtId="187" fontId="58" fillId="0" borderId="6" xfId="50" applyNumberFormat="1" applyFont="1" applyFill="1" applyBorder="1" applyAlignment="1">
      <alignment horizontal="center" vertical="top"/>
    </xf>
    <xf numFmtId="187" fontId="58" fillId="0" borderId="7" xfId="50" applyNumberFormat="1" applyFont="1" applyFill="1" applyBorder="1" applyAlignment="1">
      <alignment vertical="top"/>
    </xf>
    <xf numFmtId="43" fontId="58" fillId="0" borderId="5" xfId="50" applyNumberFormat="1" applyFont="1" applyFill="1" applyBorder="1" applyAlignment="1">
      <alignment vertical="top" shrinkToFit="1"/>
    </xf>
    <xf numFmtId="43" fontId="58" fillId="0" borderId="6" xfId="50" applyNumberFormat="1" applyFont="1" applyFill="1" applyBorder="1" applyAlignment="1">
      <alignment vertical="top" shrinkToFit="1"/>
    </xf>
    <xf numFmtId="43" fontId="58" fillId="0" borderId="7" xfId="50" applyNumberFormat="1" applyFont="1" applyFill="1" applyBorder="1" applyAlignment="1">
      <alignment vertical="top" shrinkToFit="1"/>
    </xf>
    <xf numFmtId="0" fontId="57" fillId="0" borderId="52" xfId="0" applyFont="1" applyFill="1" applyBorder="1" applyAlignment="1">
      <alignment vertical="top"/>
    </xf>
    <xf numFmtId="0" fontId="57" fillId="0" borderId="89" xfId="0" applyFont="1" applyFill="1" applyBorder="1" applyAlignment="1">
      <alignment vertical="top" wrapText="1"/>
    </xf>
    <xf numFmtId="0" fontId="59" fillId="0" borderId="52" xfId="0" applyFont="1" applyFill="1" applyBorder="1" applyAlignment="1">
      <alignment vertical="top"/>
    </xf>
    <xf numFmtId="0" fontId="59" fillId="0" borderId="89" xfId="0" applyFont="1" applyFill="1" applyBorder="1" applyAlignment="1">
      <alignment vertical="top" wrapText="1"/>
    </xf>
    <xf numFmtId="187" fontId="59" fillId="0" borderId="52" xfId="50" applyFont="1" applyFill="1" applyBorder="1" applyAlignment="1">
      <alignment vertical="top"/>
    </xf>
    <xf numFmtId="187" fontId="59" fillId="0" borderId="21" xfId="50" applyFont="1" applyFill="1" applyBorder="1" applyAlignment="1">
      <alignment vertical="top"/>
    </xf>
    <xf numFmtId="187" fontId="63" fillId="0" borderId="21" xfId="50" applyFont="1" applyFill="1" applyBorder="1" applyAlignment="1">
      <alignment vertical="top"/>
    </xf>
    <xf numFmtId="188" fontId="57" fillId="0" borderId="21" xfId="41" applyNumberFormat="1" applyFont="1" applyFill="1" applyBorder="1" applyAlignment="1">
      <alignment vertical="top"/>
    </xf>
    <xf numFmtId="187" fontId="57" fillId="0" borderId="21" xfId="41" applyNumberFormat="1" applyFont="1" applyFill="1" applyBorder="1" applyAlignment="1">
      <alignment horizontal="center" vertical="top"/>
    </xf>
    <xf numFmtId="187" fontId="58" fillId="0" borderId="22" xfId="50" applyNumberFormat="1" applyFont="1" applyFill="1" applyBorder="1" applyAlignment="1">
      <alignment vertical="top"/>
    </xf>
    <xf numFmtId="187" fontId="57" fillId="0" borderId="21" xfId="50" applyFont="1" applyFill="1" applyBorder="1" applyAlignment="1">
      <alignment vertical="top"/>
    </xf>
    <xf numFmtId="187" fontId="58" fillId="0" borderId="21" xfId="50" applyNumberFormat="1" applyFont="1" applyFill="1" applyBorder="1" applyAlignment="1">
      <alignment vertical="top"/>
    </xf>
    <xf numFmtId="188" fontId="57" fillId="0" borderId="21" xfId="50" applyNumberFormat="1" applyFont="1" applyFill="1" applyBorder="1" applyAlignment="1">
      <alignment vertical="top"/>
    </xf>
    <xf numFmtId="43" fontId="57" fillId="0" borderId="71" xfId="50" applyNumberFormat="1" applyFont="1" applyFill="1" applyBorder="1" applyAlignment="1">
      <alignment vertical="top" shrinkToFit="1"/>
    </xf>
    <xf numFmtId="43" fontId="57" fillId="0" borderId="21" xfId="50" applyNumberFormat="1" applyFont="1" applyFill="1" applyBorder="1" applyAlignment="1">
      <alignment vertical="top" shrinkToFit="1"/>
    </xf>
    <xf numFmtId="43" fontId="57" fillId="0" borderId="22" xfId="50" applyNumberFormat="1" applyFont="1" applyFill="1" applyBorder="1" applyAlignment="1">
      <alignment vertical="top" shrinkToFit="1"/>
    </xf>
    <xf numFmtId="188" fontId="58" fillId="0" borderId="20" xfId="50" applyNumberFormat="1" applyFont="1" applyFill="1" applyBorder="1" applyAlignment="1">
      <alignment horizontal="left" vertical="top"/>
    </xf>
    <xf numFmtId="187" fontId="58" fillId="0" borderId="20" xfId="50" applyNumberFormat="1" applyFont="1" applyFill="1" applyBorder="1" applyAlignment="1">
      <alignment vertical="top"/>
    </xf>
    <xf numFmtId="187" fontId="58" fillId="0" borderId="7" xfId="50" applyNumberFormat="1" applyFont="1" applyFill="1" applyBorder="1" applyAlignment="1">
      <alignment vertical="top" shrinkToFit="1"/>
    </xf>
    <xf numFmtId="0" fontId="57" fillId="0" borderId="66" xfId="0" applyFont="1" applyFill="1" applyBorder="1" applyAlignment="1">
      <alignment vertical="top"/>
    </xf>
    <xf numFmtId="0" fontId="57" fillId="0" borderId="112" xfId="0" applyFont="1" applyFill="1" applyBorder="1" applyAlignment="1">
      <alignment vertical="top" wrapText="1"/>
    </xf>
    <xf numFmtId="0" fontId="57" fillId="0" borderId="104" xfId="0" applyFont="1" applyFill="1" applyBorder="1" applyAlignment="1">
      <alignment vertical="top" wrapText="1"/>
    </xf>
    <xf numFmtId="187" fontId="57" fillId="0" borderId="8" xfId="41" applyNumberFormat="1" applyFont="1" applyFill="1" applyBorder="1" applyAlignment="1">
      <alignment vertical="top"/>
    </xf>
    <xf numFmtId="187" fontId="57" fillId="0" borderId="9" xfId="50" applyFont="1" applyFill="1" applyBorder="1" applyAlignment="1">
      <alignment vertical="top"/>
    </xf>
    <xf numFmtId="187" fontId="58" fillId="0" borderId="9" xfId="50" applyNumberFormat="1" applyFont="1" applyFill="1" applyBorder="1" applyAlignment="1">
      <alignment vertical="top"/>
    </xf>
    <xf numFmtId="188" fontId="57" fillId="0" borderId="9" xfId="50" applyNumberFormat="1" applyFont="1" applyFill="1" applyBorder="1" applyAlignment="1">
      <alignment vertical="top"/>
    </xf>
    <xf numFmtId="0" fontId="57" fillId="0" borderId="9" xfId="0" applyFont="1" applyFill="1" applyBorder="1" applyAlignment="1">
      <alignment vertical="top"/>
    </xf>
    <xf numFmtId="187" fontId="58" fillId="0" borderId="10" xfId="50" applyNumberFormat="1" applyFont="1" applyFill="1" applyBorder="1" applyAlignment="1">
      <alignment vertical="top"/>
    </xf>
    <xf numFmtId="0" fontId="57" fillId="0" borderId="15" xfId="0" applyFont="1" applyFill="1" applyBorder="1" applyAlignment="1">
      <alignment vertical="top"/>
    </xf>
    <xf numFmtId="187" fontId="57" fillId="0" borderId="12" xfId="41" applyNumberFormat="1" applyFont="1" applyFill="1" applyBorder="1" applyAlignment="1">
      <alignment vertical="top"/>
    </xf>
    <xf numFmtId="188" fontId="57" fillId="0" borderId="27" xfId="50" applyNumberFormat="1" applyFont="1" applyFill="1" applyBorder="1" applyAlignment="1">
      <alignment horizontal="center" vertical="top"/>
    </xf>
    <xf numFmtId="0" fontId="57" fillId="0" borderId="17" xfId="0" applyFont="1" applyFill="1" applyBorder="1" applyAlignment="1">
      <alignment vertical="top"/>
    </xf>
    <xf numFmtId="187" fontId="57" fillId="0" borderId="17" xfId="41" applyNumberFormat="1" applyFont="1" applyFill="1" applyBorder="1" applyAlignment="1">
      <alignment vertical="top"/>
    </xf>
    <xf numFmtId="0" fontId="57" fillId="0" borderId="18" xfId="0" applyFont="1" applyFill="1" applyBorder="1" applyAlignment="1">
      <alignment vertical="top" wrapText="1"/>
    </xf>
    <xf numFmtId="187" fontId="57" fillId="0" borderId="18" xfId="50" applyFont="1" applyFill="1" applyBorder="1" applyAlignment="1">
      <alignment vertical="top"/>
    </xf>
    <xf numFmtId="188" fontId="57" fillId="0" borderId="18" xfId="50" applyNumberFormat="1" applyFont="1" applyFill="1" applyBorder="1" applyAlignment="1">
      <alignment vertical="top"/>
    </xf>
    <xf numFmtId="0" fontId="57" fillId="0" borderId="18" xfId="0" applyFont="1" applyFill="1" applyBorder="1" applyAlignment="1">
      <alignment vertical="top"/>
    </xf>
    <xf numFmtId="0" fontId="58" fillId="0" borderId="7" xfId="0" applyNumberFormat="1" applyFont="1" applyFill="1" applyBorder="1" applyAlignment="1">
      <alignment vertical="top"/>
    </xf>
    <xf numFmtId="43" fontId="58" fillId="0" borderId="111" xfId="50" applyNumberFormat="1" applyFont="1" applyFill="1" applyBorder="1" applyAlignment="1">
      <alignment vertical="top" shrinkToFit="1"/>
    </xf>
    <xf numFmtId="187" fontId="57" fillId="0" borderId="66" xfId="41" applyNumberFormat="1" applyFont="1" applyFill="1" applyBorder="1" applyAlignment="1">
      <alignment vertical="top"/>
    </xf>
    <xf numFmtId="0" fontId="57" fillId="0" borderId="9" xfId="0" applyFont="1" applyFill="1" applyBorder="1" applyAlignment="1">
      <alignment horizontal="center" vertical="top" shrinkToFit="1"/>
    </xf>
    <xf numFmtId="43" fontId="57" fillId="0" borderId="138" xfId="50" applyNumberFormat="1" applyFont="1" applyFill="1" applyBorder="1" applyAlignment="1">
      <alignment vertical="top" shrinkToFit="1"/>
    </xf>
    <xf numFmtId="0" fontId="57" fillId="0" borderId="13" xfId="0" applyFont="1" applyFill="1" applyBorder="1" applyAlignment="1">
      <alignment horizontal="center" vertical="top" shrinkToFit="1"/>
    </xf>
    <xf numFmtId="43" fontId="57" fillId="0" borderId="131" xfId="50" applyNumberFormat="1" applyFont="1" applyFill="1" applyBorder="1" applyAlignment="1">
      <alignment vertical="top" shrinkToFit="1"/>
    </xf>
    <xf numFmtId="0" fontId="57" fillId="0" borderId="13" xfId="35" applyFont="1" applyFill="1" applyBorder="1" applyAlignment="1">
      <alignment horizontal="left" vertical="top" wrapText="1"/>
    </xf>
    <xf numFmtId="0" fontId="57" fillId="0" borderId="75" xfId="35" applyFont="1" applyFill="1" applyBorder="1" applyAlignment="1">
      <alignment horizontal="left" vertical="top" wrapText="1"/>
    </xf>
    <xf numFmtId="0" fontId="57" fillId="0" borderId="37" xfId="0" applyFont="1" applyFill="1" applyBorder="1" applyAlignment="1">
      <alignment vertical="top"/>
    </xf>
    <xf numFmtId="187" fontId="57" fillId="0" borderId="15" xfId="50" applyNumberFormat="1" applyFont="1" applyFill="1" applyBorder="1" applyAlignment="1">
      <alignment vertical="top"/>
    </xf>
    <xf numFmtId="187" fontId="57" fillId="0" borderId="13" xfId="50" applyNumberFormat="1" applyFont="1" applyFill="1" applyBorder="1" applyAlignment="1">
      <alignment vertical="top"/>
    </xf>
    <xf numFmtId="0" fontId="57" fillId="0" borderId="62" xfId="0" applyFont="1" applyFill="1" applyBorder="1" applyAlignment="1">
      <alignment vertical="top"/>
    </xf>
    <xf numFmtId="0" fontId="57" fillId="0" borderId="60" xfId="0" applyFont="1" applyFill="1" applyBorder="1" applyAlignment="1">
      <alignment vertical="top" wrapText="1"/>
    </xf>
    <xf numFmtId="188" fontId="57" fillId="0" borderId="32" xfId="50" applyNumberFormat="1" applyFont="1" applyFill="1" applyBorder="1" applyAlignment="1">
      <alignment horizontal="center" vertical="top"/>
    </xf>
    <xf numFmtId="0" fontId="57" fillId="0" borderId="32" xfId="0" applyFont="1" applyFill="1" applyBorder="1" applyAlignment="1">
      <alignment horizontal="center" vertical="top" shrinkToFit="1"/>
    </xf>
    <xf numFmtId="0" fontId="57" fillId="0" borderId="17" xfId="35" applyFont="1" applyFill="1" applyBorder="1" applyAlignment="1">
      <alignment horizontal="center" vertical="top" wrapText="1"/>
    </xf>
    <xf numFmtId="0" fontId="57" fillId="0" borderId="18" xfId="35" applyFont="1" applyFill="1" applyBorder="1" applyAlignment="1">
      <alignment horizontal="left" vertical="top" wrapText="1"/>
    </xf>
    <xf numFmtId="0" fontId="57" fillId="0" borderId="124" xfId="35" applyFont="1" applyFill="1" applyBorder="1" applyAlignment="1">
      <alignment horizontal="left" vertical="top" wrapText="1"/>
    </xf>
    <xf numFmtId="187" fontId="57" fillId="0" borderId="28" xfId="41" applyNumberFormat="1" applyFont="1" applyFill="1" applyBorder="1" applyAlignment="1">
      <alignment vertical="top"/>
    </xf>
    <xf numFmtId="0" fontId="57" fillId="0" borderId="18" xfId="0" applyFont="1" applyFill="1" applyBorder="1" applyAlignment="1">
      <alignment horizontal="center" vertical="top" shrinkToFit="1"/>
    </xf>
    <xf numFmtId="43" fontId="57" fillId="0" borderId="139" xfId="50" applyNumberFormat="1" applyFont="1" applyFill="1" applyBorder="1" applyAlignment="1">
      <alignment vertical="top" shrinkToFit="1"/>
    </xf>
    <xf numFmtId="189" fontId="58" fillId="0" borderId="6" xfId="50" applyNumberFormat="1" applyFont="1" applyFill="1" applyBorder="1" applyAlignment="1">
      <alignment horizontal="right" vertical="top"/>
    </xf>
    <xf numFmtId="0" fontId="57" fillId="0" borderId="37" xfId="0" applyFont="1" applyFill="1" applyBorder="1" applyAlignment="1">
      <alignment horizontal="center" vertical="top"/>
    </xf>
    <xf numFmtId="0" fontId="57" fillId="0" borderId="17" xfId="0" applyFont="1" applyFill="1" applyBorder="1" applyAlignment="1">
      <alignment horizontal="center" vertical="top" wrapText="1"/>
    </xf>
    <xf numFmtId="0" fontId="57" fillId="0" borderId="19" xfId="0" applyFont="1" applyFill="1" applyBorder="1" applyAlignment="1">
      <alignment vertical="top" wrapText="1" shrinkToFit="1"/>
    </xf>
    <xf numFmtId="0" fontId="57" fillId="0" borderId="124" xfId="0" applyFont="1" applyFill="1" applyBorder="1" applyAlignment="1">
      <alignment vertical="top" wrapText="1" shrinkToFit="1"/>
    </xf>
    <xf numFmtId="188" fontId="58" fillId="0" borderId="6" xfId="50" applyNumberFormat="1" applyFont="1" applyFill="1" applyBorder="1" applyAlignment="1">
      <alignment horizontal="right" vertical="top"/>
    </xf>
    <xf numFmtId="0" fontId="58" fillId="0" borderId="20" xfId="0" applyFont="1" applyFill="1" applyBorder="1" applyAlignment="1">
      <alignment horizontal="left" vertical="top"/>
    </xf>
    <xf numFmtId="187" fontId="57" fillId="0" borderId="66" xfId="50" applyNumberFormat="1" applyFont="1" applyFill="1" applyBorder="1" applyAlignment="1">
      <alignment vertical="top"/>
    </xf>
    <xf numFmtId="187" fontId="57" fillId="0" borderId="9" xfId="50" applyNumberFormat="1" applyFont="1" applyFill="1" applyBorder="1" applyAlignment="1">
      <alignment horizontal="center" vertical="top"/>
    </xf>
    <xf numFmtId="187" fontId="57" fillId="0" borderId="13" xfId="50" applyNumberFormat="1" applyFont="1" applyFill="1" applyBorder="1" applyAlignment="1">
      <alignment horizontal="center" vertical="top"/>
    </xf>
    <xf numFmtId="0" fontId="57" fillId="0" borderId="59" xfId="0" applyFont="1" applyFill="1" applyBorder="1" applyAlignment="1">
      <alignment horizontal="center" vertical="top"/>
    </xf>
    <xf numFmtId="0" fontId="57" fillId="0" borderId="32" xfId="0" applyFont="1" applyFill="1" applyBorder="1" applyAlignment="1">
      <alignment vertical="top" wrapText="1"/>
    </xf>
    <xf numFmtId="187" fontId="57" fillId="0" borderId="54" xfId="50" applyNumberFormat="1" applyFont="1" applyFill="1" applyBorder="1" applyAlignment="1">
      <alignment vertical="top"/>
    </xf>
    <xf numFmtId="0" fontId="57" fillId="0" borderId="0" xfId="0" applyFont="1" applyFill="1" applyBorder="1" applyAlignment="1">
      <alignment horizontal="center" vertical="top"/>
    </xf>
    <xf numFmtId="0" fontId="57" fillId="0" borderId="17" xfId="0" applyFont="1" applyFill="1" applyBorder="1" applyAlignment="1">
      <alignment horizontal="center" vertical="top"/>
    </xf>
    <xf numFmtId="187" fontId="57" fillId="0" borderId="18" xfId="50" applyNumberFormat="1" applyFont="1" applyFill="1" applyBorder="1" applyAlignment="1">
      <alignment vertical="top"/>
    </xf>
    <xf numFmtId="187" fontId="57" fillId="0" borderId="55" xfId="50" applyNumberFormat="1" applyFont="1" applyFill="1" applyBorder="1" applyAlignment="1">
      <alignment vertical="top"/>
    </xf>
    <xf numFmtId="187" fontId="57" fillId="0" borderId="18" xfId="50" applyNumberFormat="1" applyFont="1" applyFill="1" applyBorder="1" applyAlignment="1">
      <alignment horizontal="center" vertical="top"/>
    </xf>
    <xf numFmtId="188" fontId="58" fillId="0" borderId="6" xfId="50" applyNumberFormat="1" applyFont="1" applyFill="1" applyBorder="1" applyAlignment="1">
      <alignment vertical="top"/>
    </xf>
    <xf numFmtId="43" fontId="58" fillId="0" borderId="110" xfId="50" applyNumberFormat="1" applyFont="1" applyFill="1" applyBorder="1" applyAlignment="1">
      <alignment vertical="top" shrinkToFit="1"/>
    </xf>
    <xf numFmtId="187" fontId="57" fillId="0" borderId="17" xfId="50" applyNumberFormat="1" applyFont="1" applyFill="1" applyBorder="1" applyAlignment="1">
      <alignment vertical="top"/>
    </xf>
    <xf numFmtId="0" fontId="57" fillId="0" borderId="116" xfId="0" applyFont="1" applyFill="1" applyBorder="1" applyAlignment="1">
      <alignment vertical="top"/>
    </xf>
    <xf numFmtId="0" fontId="58" fillId="0" borderId="114" xfId="0" applyFont="1" applyFill="1" applyBorder="1" applyAlignment="1">
      <alignment horizontal="center" vertical="top" shrinkToFit="1"/>
    </xf>
    <xf numFmtId="187" fontId="58" fillId="0" borderId="6" xfId="50" applyFont="1" applyFill="1" applyBorder="1" applyAlignment="1">
      <alignment vertical="top"/>
    </xf>
    <xf numFmtId="187" fontId="58" fillId="0" borderId="87" xfId="50" applyFont="1" applyFill="1" applyBorder="1" applyAlignment="1">
      <alignment vertical="top"/>
    </xf>
    <xf numFmtId="187" fontId="58" fillId="0" borderId="6" xfId="50" applyFont="1" applyFill="1" applyBorder="1" applyAlignment="1">
      <alignment horizontal="center" vertical="top"/>
    </xf>
    <xf numFmtId="43" fontId="58" fillId="0" borderId="114" xfId="0" applyNumberFormat="1" applyFont="1" applyFill="1" applyBorder="1" applyAlignment="1">
      <alignment vertical="top"/>
    </xf>
    <xf numFmtId="43" fontId="58" fillId="0" borderId="6" xfId="0" applyNumberFormat="1" applyFont="1" applyFill="1" applyBorder="1" applyAlignment="1">
      <alignment vertical="top"/>
    </xf>
    <xf numFmtId="43" fontId="58" fillId="0" borderId="110" xfId="0" applyNumberFormat="1" applyFont="1" applyFill="1" applyBorder="1" applyAlignment="1">
      <alignment vertical="top" shrinkToFit="1"/>
    </xf>
    <xf numFmtId="0" fontId="58" fillId="0" borderId="0" xfId="0" applyFont="1" applyFill="1" applyBorder="1" applyAlignment="1">
      <alignment vertical="top"/>
    </xf>
    <xf numFmtId="187" fontId="57" fillId="0" borderId="8" xfId="41" applyFont="1" applyFill="1" applyBorder="1" applyAlignment="1">
      <alignment vertical="top"/>
    </xf>
    <xf numFmtId="187" fontId="57" fillId="0" borderId="9" xfId="41" applyFont="1" applyFill="1" applyBorder="1" applyAlignment="1">
      <alignment vertical="top"/>
    </xf>
    <xf numFmtId="187" fontId="57" fillId="0" borderId="65" xfId="41" applyFont="1" applyFill="1" applyBorder="1" applyAlignment="1">
      <alignment vertical="top"/>
    </xf>
    <xf numFmtId="188" fontId="57" fillId="0" borderId="9" xfId="41" applyNumberFormat="1" applyFont="1" applyFill="1" applyBorder="1" applyAlignment="1">
      <alignment vertical="top" shrinkToFit="1"/>
    </xf>
    <xf numFmtId="187" fontId="64" fillId="0" borderId="9" xfId="41" applyFont="1" applyFill="1" applyBorder="1" applyAlignment="1">
      <alignment horizontal="center" vertical="top" wrapText="1"/>
    </xf>
    <xf numFmtId="0" fontId="57" fillId="0" borderId="44" xfId="0" applyFont="1" applyFill="1" applyBorder="1" applyAlignment="1">
      <alignment vertical="top"/>
    </xf>
    <xf numFmtId="187" fontId="57" fillId="0" borderId="12" xfId="41" applyFont="1" applyFill="1" applyBorder="1" applyAlignment="1">
      <alignment vertical="top"/>
    </xf>
    <xf numFmtId="187" fontId="57" fillId="0" borderId="13" xfId="41" applyFont="1" applyFill="1" applyBorder="1" applyAlignment="1">
      <alignment vertical="top"/>
    </xf>
    <xf numFmtId="187" fontId="57" fillId="0" borderId="54" xfId="41" applyFont="1" applyFill="1" applyBorder="1" applyAlignment="1">
      <alignment vertical="top"/>
    </xf>
    <xf numFmtId="188" fontId="57" fillId="0" borderId="13" xfId="42" applyNumberFormat="1" applyFont="1" applyFill="1" applyBorder="1" applyAlignment="1">
      <alignment horizontal="center" vertical="top"/>
    </xf>
    <xf numFmtId="187" fontId="64" fillId="0" borderId="13" xfId="41" applyFont="1" applyFill="1" applyBorder="1" applyAlignment="1">
      <alignment horizontal="center" vertical="top" wrapText="1"/>
    </xf>
    <xf numFmtId="188" fontId="57" fillId="0" borderId="13" xfId="41" applyNumberFormat="1" applyFont="1" applyFill="1" applyBorder="1" applyAlignment="1">
      <alignment vertical="top" shrinkToFit="1"/>
    </xf>
    <xf numFmtId="0" fontId="57" fillId="0" borderId="13" xfId="0" applyFont="1" applyFill="1" applyBorder="1" applyAlignment="1">
      <alignment vertical="top"/>
    </xf>
    <xf numFmtId="0" fontId="57" fillId="0" borderId="75" xfId="0" applyFont="1" applyFill="1" applyBorder="1" applyAlignment="1">
      <alignment vertical="top"/>
    </xf>
    <xf numFmtId="0" fontId="57" fillId="0" borderId="27" xfId="0" applyFont="1" applyFill="1" applyBorder="1" applyAlignment="1">
      <alignment horizontal="center" vertical="top" shrinkToFit="1"/>
    </xf>
    <xf numFmtId="0" fontId="64" fillId="0" borderId="9" xfId="0" applyFont="1" applyFill="1" applyBorder="1" applyAlignment="1">
      <alignment vertical="top" wrapText="1"/>
    </xf>
    <xf numFmtId="43" fontId="57" fillId="0" borderId="0" xfId="0" applyNumberFormat="1" applyFont="1" applyFill="1" applyBorder="1" applyAlignment="1">
      <alignment vertical="top"/>
    </xf>
    <xf numFmtId="0" fontId="57" fillId="0" borderId="15" xfId="0" applyFont="1" applyFill="1" applyBorder="1" applyAlignment="1">
      <alignment horizontal="left" vertical="top" wrapText="1"/>
    </xf>
    <xf numFmtId="0" fontId="57" fillId="0" borderId="13" xfId="0" applyFont="1" applyFill="1" applyBorder="1" applyAlignment="1">
      <alignment vertical="top" wrapText="1"/>
    </xf>
    <xf numFmtId="0" fontId="57" fillId="0" borderId="15" xfId="0" applyFont="1" applyFill="1" applyBorder="1" applyAlignment="1">
      <alignment horizontal="left" vertical="top"/>
    </xf>
    <xf numFmtId="0" fontId="57" fillId="0" borderId="68" xfId="0" applyFont="1" applyFill="1" applyBorder="1" applyAlignment="1">
      <alignment vertical="top"/>
    </xf>
    <xf numFmtId="0" fontId="57" fillId="0" borderId="95" xfId="0" applyFont="1" applyFill="1" applyBorder="1" applyAlignment="1">
      <alignment vertical="top" wrapText="1"/>
    </xf>
    <xf numFmtId="0" fontId="57" fillId="0" borderId="137" xfId="0" applyFont="1" applyFill="1" applyBorder="1" applyAlignment="1">
      <alignment vertical="top" wrapText="1"/>
    </xf>
    <xf numFmtId="187" fontId="57" fillId="0" borderId="33" xfId="50" applyNumberFormat="1" applyFont="1" applyFill="1" applyBorder="1" applyAlignment="1">
      <alignment vertical="top"/>
    </xf>
    <xf numFmtId="187" fontId="57" fillId="0" borderId="35" xfId="50" applyFont="1" applyFill="1" applyBorder="1" applyAlignment="1">
      <alignment vertical="top"/>
    </xf>
    <xf numFmtId="187" fontId="57" fillId="0" borderId="67" xfId="50" applyFont="1" applyFill="1" applyBorder="1" applyAlignment="1">
      <alignment vertical="top"/>
    </xf>
    <xf numFmtId="187" fontId="63" fillId="0" borderId="81" xfId="50" applyFont="1" applyFill="1" applyBorder="1" applyAlignment="1">
      <alignment vertical="top"/>
    </xf>
    <xf numFmtId="188" fontId="57" fillId="0" borderId="35" xfId="50" applyNumberFormat="1" applyFont="1" applyFill="1" applyBorder="1" applyAlignment="1">
      <alignment vertical="top"/>
    </xf>
    <xf numFmtId="0" fontId="64" fillId="0" borderId="35" xfId="0" applyFont="1" applyFill="1" applyBorder="1" applyAlignment="1">
      <alignment horizontal="center" vertical="top" wrapText="1"/>
    </xf>
    <xf numFmtId="43" fontId="63" fillId="0" borderId="82" xfId="0" applyNumberFormat="1" applyFont="1" applyFill="1" applyBorder="1" applyAlignment="1">
      <alignment vertical="top"/>
    </xf>
    <xf numFmtId="0" fontId="57" fillId="0" borderId="80" xfId="0" applyFont="1" applyFill="1" applyBorder="1" applyAlignment="1">
      <alignment vertical="top"/>
    </xf>
    <xf numFmtId="0" fontId="57" fillId="0" borderId="81" xfId="0" applyFont="1" applyFill="1" applyBorder="1" applyAlignment="1">
      <alignment vertical="top" wrapText="1"/>
    </xf>
    <xf numFmtId="187" fontId="57" fillId="0" borderId="81" xfId="50" applyFont="1" applyFill="1" applyBorder="1" applyAlignment="1">
      <alignment vertical="top"/>
    </xf>
    <xf numFmtId="187" fontId="58" fillId="0" borderId="81" xfId="50" applyFont="1" applyFill="1" applyBorder="1" applyAlignment="1">
      <alignment vertical="top"/>
    </xf>
    <xf numFmtId="188" fontId="57" fillId="0" borderId="81" xfId="50" applyNumberFormat="1" applyFont="1" applyFill="1" applyBorder="1" applyAlignment="1">
      <alignment horizontal="center" vertical="top"/>
    </xf>
    <xf numFmtId="0" fontId="65" fillId="0" borderId="81" xfId="0" applyFont="1" applyFill="1" applyBorder="1" applyAlignment="1">
      <alignment horizontal="center" vertical="top" wrapText="1"/>
    </xf>
    <xf numFmtId="43" fontId="58" fillId="0" borderId="82" xfId="0" applyNumberFormat="1" applyFont="1" applyFill="1" applyBorder="1" applyAlignment="1">
      <alignment vertical="top"/>
    </xf>
    <xf numFmtId="43" fontId="57" fillId="0" borderId="67" xfId="50" applyNumberFormat="1" applyFont="1" applyFill="1" applyBorder="1" applyAlignment="1">
      <alignment vertical="top" shrinkToFit="1"/>
    </xf>
    <xf numFmtId="43" fontId="57" fillId="0" borderId="35" xfId="50" applyNumberFormat="1" applyFont="1" applyFill="1" applyBorder="1" applyAlignment="1">
      <alignment vertical="top" shrinkToFit="1"/>
    </xf>
    <xf numFmtId="43" fontId="57" fillId="0" borderId="34" xfId="50" applyNumberFormat="1" applyFont="1" applyFill="1" applyBorder="1" applyAlignment="1">
      <alignment vertical="top" shrinkToFit="1"/>
    </xf>
    <xf numFmtId="188" fontId="58" fillId="0" borderId="48" xfId="50" applyNumberFormat="1" applyFont="1" applyFill="1" applyBorder="1" applyAlignment="1">
      <alignment horizontal="center" vertical="top"/>
    </xf>
    <xf numFmtId="0" fontId="58" fillId="0" borderId="48" xfId="0" applyFont="1" applyFill="1" applyBorder="1" applyAlignment="1">
      <alignment horizontal="center" vertical="top" shrinkToFit="1"/>
    </xf>
    <xf numFmtId="0" fontId="58" fillId="0" borderId="47" xfId="0" applyFont="1" applyFill="1" applyBorder="1" applyAlignment="1">
      <alignment horizontal="left" vertical="top"/>
    </xf>
    <xf numFmtId="0" fontId="58" fillId="0" borderId="101" xfId="0" applyFont="1" applyFill="1" applyBorder="1" applyAlignment="1">
      <alignment vertical="top"/>
    </xf>
    <xf numFmtId="0" fontId="58" fillId="0" borderId="100" xfId="0" applyFont="1" applyFill="1" applyBorder="1" applyAlignment="1">
      <alignment vertical="top"/>
    </xf>
    <xf numFmtId="187" fontId="58" fillId="0" borderId="45" xfId="50" applyNumberFormat="1" applyFont="1" applyFill="1" applyBorder="1" applyAlignment="1">
      <alignment vertical="top"/>
    </xf>
    <xf numFmtId="187" fontId="58" fillId="0" borderId="48" xfId="50" applyNumberFormat="1" applyFont="1" applyFill="1" applyBorder="1" applyAlignment="1">
      <alignment vertical="top"/>
    </xf>
    <xf numFmtId="187" fontId="58" fillId="0" borderId="79" xfId="50" applyNumberFormat="1" applyFont="1" applyFill="1" applyBorder="1" applyAlignment="1">
      <alignment vertical="top"/>
    </xf>
    <xf numFmtId="188" fontId="58" fillId="0" borderId="48" xfId="50" applyNumberFormat="1" applyFont="1" applyFill="1" applyBorder="1" applyAlignment="1">
      <alignment vertical="top"/>
    </xf>
    <xf numFmtId="43" fontId="58" fillId="0" borderId="101" xfId="0" applyNumberFormat="1" applyFont="1" applyFill="1" applyBorder="1" applyAlignment="1">
      <alignment vertical="top"/>
    </xf>
    <xf numFmtId="0" fontId="58" fillId="0" borderId="45" xfId="0" applyFont="1" applyFill="1" applyBorder="1" applyAlignment="1">
      <alignment vertical="top"/>
    </xf>
    <xf numFmtId="0" fontId="58" fillId="0" borderId="46" xfId="0" applyFont="1" applyFill="1" applyBorder="1" applyAlignment="1">
      <alignment vertical="top" wrapText="1"/>
    </xf>
    <xf numFmtId="187" fontId="58" fillId="0" borderId="79" xfId="50" applyFont="1" applyFill="1" applyBorder="1" applyAlignment="1">
      <alignment vertical="top"/>
    </xf>
    <xf numFmtId="187" fontId="58" fillId="0" borderId="48" xfId="50" applyFont="1" applyFill="1" applyBorder="1" applyAlignment="1">
      <alignment vertical="top"/>
    </xf>
    <xf numFmtId="0" fontId="66" fillId="0" borderId="48" xfId="0" applyFont="1" applyFill="1" applyBorder="1" applyAlignment="1">
      <alignment horizontal="center" vertical="top" wrapText="1"/>
    </xf>
    <xf numFmtId="43" fontId="58" fillId="0" borderId="49" xfId="0" applyNumberFormat="1" applyFont="1" applyFill="1" applyBorder="1" applyAlignment="1">
      <alignment vertical="top"/>
    </xf>
    <xf numFmtId="43" fontId="58" fillId="0" borderId="79" xfId="50" applyNumberFormat="1" applyFont="1" applyFill="1" applyBorder="1" applyAlignment="1">
      <alignment vertical="top" shrinkToFit="1"/>
    </xf>
    <xf numFmtId="43" fontId="58" fillId="0" borderId="48" xfId="50" applyNumberFormat="1" applyFont="1" applyFill="1" applyBorder="1" applyAlignment="1">
      <alignment vertical="top" shrinkToFit="1"/>
    </xf>
    <xf numFmtId="43" fontId="58" fillId="0" borderId="49" xfId="50" applyNumberFormat="1" applyFont="1" applyFill="1" applyBorder="1" applyAlignment="1">
      <alignment vertical="top" shrinkToFit="1"/>
    </xf>
    <xf numFmtId="187" fontId="57" fillId="0" borderId="0" xfId="50" applyFont="1" applyFill="1" applyBorder="1" applyAlignment="1">
      <alignment vertical="top"/>
    </xf>
    <xf numFmtId="188" fontId="57" fillId="0" borderId="0" xfId="50" applyNumberFormat="1" applyFont="1" applyFill="1" applyBorder="1" applyAlignment="1">
      <alignment horizontal="right" vertical="top"/>
    </xf>
    <xf numFmtId="0" fontId="57" fillId="0" borderId="0" xfId="0" applyFont="1" applyFill="1" applyBorder="1" applyAlignment="1">
      <alignment horizontal="center" vertical="top" wrapText="1"/>
    </xf>
    <xf numFmtId="187" fontId="57" fillId="0" borderId="0" xfId="50" applyNumberFormat="1" applyFont="1" applyFill="1" applyBorder="1" applyAlignment="1">
      <alignment vertical="top" shrinkToFit="1"/>
    </xf>
    <xf numFmtId="187" fontId="57" fillId="0" borderId="0" xfId="50" applyNumberFormat="1" applyFont="1" applyFill="1" applyBorder="1" applyAlignment="1">
      <alignment horizontal="center" vertical="top"/>
    </xf>
    <xf numFmtId="187" fontId="57" fillId="0" borderId="0" xfId="50" applyNumberFormat="1" applyFont="1" applyFill="1" applyBorder="1" applyAlignment="1">
      <alignment vertical="top" wrapText="1"/>
    </xf>
    <xf numFmtId="3" fontId="57" fillId="0" borderId="0" xfId="0" applyNumberFormat="1" applyFont="1" applyFill="1" applyBorder="1" applyAlignment="1">
      <alignment horizontal="center" vertical="top"/>
    </xf>
    <xf numFmtId="0" fontId="65" fillId="0" borderId="0" xfId="0" applyFont="1" applyFill="1" applyBorder="1" applyAlignment="1">
      <alignment horizontal="center" vertical="top" wrapText="1"/>
    </xf>
    <xf numFmtId="43" fontId="57" fillId="0" borderId="0" xfId="0" applyNumberFormat="1" applyFont="1" applyFill="1" applyBorder="1" applyAlignment="1">
      <alignment vertical="top" shrinkToFit="1"/>
    </xf>
    <xf numFmtId="0" fontId="57" fillId="0" borderId="0" xfId="0" applyFont="1" applyFill="1"/>
    <xf numFmtId="0" fontId="61" fillId="0" borderId="0" xfId="0" applyFont="1" applyFill="1"/>
    <xf numFmtId="0" fontId="67" fillId="0" borderId="0" xfId="0" applyFont="1"/>
    <xf numFmtId="0" fontId="57" fillId="0" borderId="0" xfId="0" applyFont="1" applyFill="1" applyBorder="1" applyAlignment="1">
      <alignment horizontal="left" vertical="top"/>
    </xf>
    <xf numFmtId="187" fontId="57" fillId="0" borderId="0" xfId="50" applyNumberFormat="1" applyFont="1" applyFill="1" applyBorder="1" applyAlignment="1">
      <alignment vertical="top"/>
    </xf>
    <xf numFmtId="0" fontId="57" fillId="0" borderId="0" xfId="0" applyFont="1" applyFill="1" applyBorder="1" applyAlignment="1">
      <alignment vertical="top" shrinkToFit="1"/>
    </xf>
    <xf numFmtId="187" fontId="69" fillId="0" borderId="0" xfId="50" applyFont="1" applyFill="1"/>
    <xf numFmtId="187" fontId="68" fillId="0" borderId="0" xfId="50" applyFont="1" applyFill="1"/>
    <xf numFmtId="187" fontId="69" fillId="0" borderId="0" xfId="50" applyFont="1" applyFill="1" applyAlignment="1">
      <alignment horizontal="center"/>
    </xf>
    <xf numFmtId="187" fontId="69" fillId="0" borderId="0" xfId="50" applyFont="1" applyFill="1" applyAlignment="1">
      <alignment horizontal="left"/>
    </xf>
    <xf numFmtId="187" fontId="58" fillId="0" borderId="0" xfId="50" applyFont="1" applyFill="1" applyBorder="1" applyAlignment="1"/>
    <xf numFmtId="187" fontId="57" fillId="0" borderId="0" xfId="50" applyFont="1" applyFill="1"/>
    <xf numFmtId="187" fontId="58" fillId="0" borderId="40" xfId="50" applyFont="1" applyFill="1" applyBorder="1" applyAlignment="1">
      <alignment horizontal="center" vertical="center" wrapText="1"/>
    </xf>
    <xf numFmtId="187" fontId="58" fillId="0" borderId="11" xfId="50" applyFont="1" applyFill="1" applyBorder="1" applyAlignment="1">
      <alignment horizontal="center" vertical="center" wrapText="1"/>
    </xf>
    <xf numFmtId="187" fontId="58" fillId="0" borderId="41" xfId="50" applyFont="1" applyFill="1" applyBorder="1" applyAlignment="1">
      <alignment horizontal="center" vertical="center" wrapText="1"/>
    </xf>
    <xf numFmtId="187" fontId="58" fillId="0" borderId="37" xfId="50" applyFont="1" applyFill="1" applyBorder="1" applyAlignment="1">
      <alignment horizontal="center" vertical="center" wrapText="1"/>
    </xf>
    <xf numFmtId="187" fontId="58" fillId="0" borderId="44" xfId="50" applyFont="1" applyFill="1" applyBorder="1" applyAlignment="1">
      <alignment horizontal="center" vertical="center" wrapText="1"/>
    </xf>
    <xf numFmtId="0" fontId="57" fillId="0" borderId="120" xfId="0" applyFont="1" applyFill="1" applyBorder="1" applyAlignment="1">
      <alignment vertical="top" wrapText="1"/>
    </xf>
    <xf numFmtId="187" fontId="57" fillId="0" borderId="73" xfId="50" applyFont="1" applyFill="1" applyBorder="1" applyAlignment="1">
      <alignment vertical="top"/>
    </xf>
    <xf numFmtId="187" fontId="57" fillId="0" borderId="27" xfId="50" applyFont="1" applyFill="1" applyBorder="1" applyAlignment="1">
      <alignment vertical="top"/>
    </xf>
    <xf numFmtId="187" fontId="57" fillId="0" borderId="96" xfId="50" applyFont="1" applyFill="1" applyBorder="1" applyAlignment="1">
      <alignment vertical="top"/>
    </xf>
    <xf numFmtId="187" fontId="58" fillId="0" borderId="27" xfId="50" applyFont="1" applyFill="1" applyBorder="1" applyAlignment="1">
      <alignment vertical="top"/>
    </xf>
    <xf numFmtId="188" fontId="57" fillId="0" borderId="27" xfId="50" applyNumberFormat="1" applyFont="1" applyFill="1" applyBorder="1" applyAlignment="1">
      <alignment vertical="top"/>
    </xf>
    <xf numFmtId="187" fontId="57" fillId="0" borderId="27" xfId="50" applyFont="1" applyFill="1" applyBorder="1" applyAlignment="1">
      <alignment horizontal="center" vertical="top"/>
    </xf>
    <xf numFmtId="187" fontId="58" fillId="0" borderId="39" xfId="50" applyFont="1" applyFill="1" applyBorder="1" applyAlignment="1">
      <alignment vertical="top"/>
    </xf>
    <xf numFmtId="187" fontId="57" fillId="0" borderId="74" xfId="50" applyFont="1" applyFill="1" applyBorder="1" applyAlignment="1">
      <alignment vertical="top"/>
    </xf>
    <xf numFmtId="187" fontId="57" fillId="0" borderId="63" xfId="50" applyFont="1" applyFill="1" applyBorder="1" applyAlignment="1">
      <alignment vertical="top" shrinkToFit="1"/>
    </xf>
    <xf numFmtId="187" fontId="57" fillId="0" borderId="27" xfId="50" applyFont="1" applyFill="1" applyBorder="1" applyAlignment="1">
      <alignment vertical="top" shrinkToFit="1"/>
    </xf>
    <xf numFmtId="187" fontId="57" fillId="0" borderId="39" xfId="50" applyFont="1" applyFill="1" applyBorder="1" applyAlignment="1">
      <alignment vertical="top" shrinkToFit="1"/>
    </xf>
    <xf numFmtId="187" fontId="57" fillId="0" borderId="15" xfId="50" applyFont="1" applyFill="1" applyBorder="1" applyAlignment="1">
      <alignment vertical="top"/>
    </xf>
    <xf numFmtId="188" fontId="57" fillId="0" borderId="13" xfId="50" applyNumberFormat="1" applyFont="1" applyFill="1" applyBorder="1" applyAlignment="1">
      <alignment horizontal="center" vertical="top"/>
    </xf>
    <xf numFmtId="187" fontId="57" fillId="0" borderId="13" xfId="50" applyFont="1" applyFill="1" applyBorder="1" applyAlignment="1">
      <alignment horizontal="center" vertical="top"/>
    </xf>
    <xf numFmtId="0" fontId="57" fillId="0" borderId="13" xfId="0" applyFont="1" applyFill="1" applyBorder="1" applyAlignment="1">
      <alignment horizontal="center" vertical="top" wrapText="1"/>
    </xf>
    <xf numFmtId="0" fontId="57" fillId="0" borderId="16" xfId="0" applyFont="1" applyFill="1" applyBorder="1" applyAlignment="1">
      <alignment horizontal="center" vertical="top" wrapText="1"/>
    </xf>
    <xf numFmtId="187" fontId="57" fillId="0" borderId="128" xfId="50" applyFont="1" applyFill="1" applyBorder="1" applyAlignment="1">
      <alignment vertical="top" wrapText="1"/>
    </xf>
    <xf numFmtId="187" fontId="57" fillId="0" borderId="77" xfId="50" applyFont="1" applyFill="1" applyBorder="1" applyAlignment="1">
      <alignment vertical="top"/>
    </xf>
    <xf numFmtId="187" fontId="57" fillId="0" borderId="31" xfId="50" applyFont="1" applyFill="1" applyBorder="1" applyAlignment="1">
      <alignment vertical="top"/>
    </xf>
    <xf numFmtId="187" fontId="58" fillId="0" borderId="31" xfId="50" applyFont="1" applyFill="1" applyBorder="1" applyAlignment="1">
      <alignment vertical="top"/>
    </xf>
    <xf numFmtId="187" fontId="57" fillId="0" borderId="31" xfId="50" applyFont="1" applyFill="1" applyBorder="1" applyAlignment="1">
      <alignment horizontal="center" vertical="top"/>
    </xf>
    <xf numFmtId="187" fontId="58" fillId="0" borderId="78" xfId="50" applyFont="1" applyFill="1" applyBorder="1" applyAlignment="1">
      <alignment vertical="top"/>
    </xf>
    <xf numFmtId="187" fontId="57" fillId="0" borderId="76" xfId="50" applyFont="1" applyFill="1" applyBorder="1" applyAlignment="1">
      <alignment vertical="top"/>
    </xf>
    <xf numFmtId="187" fontId="57" fillId="0" borderId="30" xfId="50" applyFont="1" applyFill="1" applyBorder="1" applyAlignment="1">
      <alignment vertical="top"/>
    </xf>
    <xf numFmtId="0" fontId="57" fillId="0" borderId="95" xfId="0" applyFont="1" applyFill="1" applyBorder="1" applyAlignment="1">
      <alignment horizontal="center" vertical="top" wrapText="1"/>
    </xf>
    <xf numFmtId="187" fontId="57" fillId="0" borderId="77" xfId="50" applyFont="1" applyFill="1" applyBorder="1" applyAlignment="1">
      <alignment vertical="top" shrinkToFit="1"/>
    </xf>
    <xf numFmtId="187" fontId="57" fillId="0" borderId="31" xfId="50" applyFont="1" applyFill="1" applyBorder="1" applyAlignment="1">
      <alignment vertical="top" shrinkToFit="1"/>
    </xf>
    <xf numFmtId="187" fontId="57" fillId="0" borderId="78" xfId="50" applyFont="1" applyFill="1" applyBorder="1" applyAlignment="1">
      <alignment vertical="top" shrinkToFit="1"/>
    </xf>
    <xf numFmtId="187" fontId="58" fillId="0" borderId="122" xfId="50" applyFont="1" applyFill="1" applyBorder="1"/>
    <xf numFmtId="187" fontId="58" fillId="0" borderId="47" xfId="50" applyFont="1" applyFill="1" applyBorder="1"/>
    <xf numFmtId="187" fontId="58" fillId="0" borderId="48" xfId="50" applyFont="1" applyFill="1" applyBorder="1"/>
    <xf numFmtId="187" fontId="58" fillId="0" borderId="48" xfId="50" applyFont="1" applyFill="1" applyBorder="1" applyAlignment="1">
      <alignment horizontal="center" vertical="top"/>
    </xf>
    <xf numFmtId="187" fontId="58" fillId="0" borderId="49" xfId="50" applyFont="1" applyFill="1" applyBorder="1" applyAlignment="1">
      <alignment vertical="top"/>
    </xf>
    <xf numFmtId="187" fontId="58" fillId="0" borderId="45" xfId="50" applyFont="1" applyFill="1" applyBorder="1"/>
    <xf numFmtId="187" fontId="58" fillId="0" borderId="79" xfId="50" applyFont="1" applyFill="1" applyBorder="1"/>
    <xf numFmtId="187" fontId="58" fillId="0" borderId="47" xfId="50" applyFont="1" applyFill="1" applyBorder="1" applyAlignment="1">
      <alignment vertical="top" shrinkToFit="1"/>
    </xf>
    <xf numFmtId="187" fontId="58" fillId="0" borderId="48" xfId="50" applyFont="1" applyFill="1" applyBorder="1" applyAlignment="1">
      <alignment vertical="top" shrinkToFit="1"/>
    </xf>
    <xf numFmtId="187" fontId="58" fillId="0" borderId="49" xfId="50" applyFont="1" applyFill="1" applyBorder="1" applyAlignment="1">
      <alignment vertical="top" shrinkToFit="1"/>
    </xf>
    <xf numFmtId="187" fontId="58" fillId="0" borderId="0" xfId="50" applyFont="1" applyFill="1"/>
    <xf numFmtId="187" fontId="57" fillId="0" borderId="0" xfId="50" applyFont="1" applyFill="1" applyAlignment="1">
      <alignment horizontal="center"/>
    </xf>
    <xf numFmtId="0" fontId="36" fillId="0" borderId="55" xfId="0" applyFont="1" applyFill="1" applyBorder="1"/>
    <xf numFmtId="0" fontId="36" fillId="0" borderId="54" xfId="0" applyFont="1" applyFill="1" applyBorder="1" applyAlignment="1">
      <alignment wrapText="1"/>
    </xf>
    <xf numFmtId="49" fontId="36" fillId="0" borderId="75" xfId="0" applyNumberFormat="1" applyFont="1" applyFill="1" applyBorder="1" applyAlignment="1">
      <alignment vertical="top" wrapText="1"/>
    </xf>
    <xf numFmtId="49" fontId="36" fillId="0" borderId="124" xfId="0" applyNumberFormat="1" applyFont="1" applyFill="1" applyBorder="1" applyAlignment="1">
      <alignment vertical="top" wrapText="1"/>
    </xf>
    <xf numFmtId="187" fontId="36" fillId="0" borderId="15" xfId="50" applyFont="1" applyFill="1" applyBorder="1" applyAlignment="1">
      <alignment vertical="top"/>
    </xf>
    <xf numFmtId="188" fontId="36" fillId="0" borderId="13" xfId="50" applyNumberFormat="1" applyFont="1" applyFill="1" applyBorder="1" applyAlignment="1">
      <alignment vertical="justify"/>
    </xf>
    <xf numFmtId="0" fontId="36" fillId="0" borderId="13" xfId="0" applyFont="1" applyFill="1" applyBorder="1" applyAlignment="1">
      <alignment horizontal="center" vertical="justify"/>
    </xf>
    <xf numFmtId="187" fontId="36" fillId="0" borderId="54" xfId="50" applyFont="1" applyFill="1" applyBorder="1" applyAlignment="1">
      <alignment vertical="top"/>
    </xf>
    <xf numFmtId="188" fontId="36" fillId="0" borderId="54" xfId="1" applyNumberFormat="1" applyFont="1" applyFill="1" applyBorder="1" applyAlignment="1">
      <alignment vertical="top"/>
    </xf>
    <xf numFmtId="187" fontId="39" fillId="0" borderId="121" xfId="1" applyFont="1" applyFill="1" applyBorder="1" applyAlignment="1">
      <alignment vertical="top" wrapText="1" shrinkToFit="1"/>
    </xf>
    <xf numFmtId="188" fontId="39" fillId="0" borderId="54" xfId="1" applyNumberFormat="1" applyFont="1" applyFill="1" applyBorder="1" applyAlignment="1">
      <alignment vertical="top"/>
    </xf>
    <xf numFmtId="0" fontId="36" fillId="0" borderId="15" xfId="0" applyFont="1" applyFill="1" applyBorder="1" applyAlignment="1">
      <alignment wrapText="1"/>
    </xf>
    <xf numFmtId="0" fontId="36" fillId="0" borderId="15" xfId="0" applyFont="1" applyFill="1" applyBorder="1"/>
    <xf numFmtId="188" fontId="36" fillId="0" borderId="54" xfId="51" applyNumberFormat="1" applyFont="1" applyFill="1" applyBorder="1" applyAlignment="1">
      <alignment horizontal="center" vertical="top"/>
    </xf>
    <xf numFmtId="0" fontId="18" fillId="0" borderId="69" xfId="0" applyFont="1" applyBorder="1" applyAlignment="1">
      <alignment vertical="top" wrapText="1"/>
    </xf>
    <xf numFmtId="188" fontId="18" fillId="0" borderId="36" xfId="50" applyNumberFormat="1" applyFont="1" applyFill="1" applyBorder="1" applyAlignment="1">
      <alignment vertical="top"/>
    </xf>
    <xf numFmtId="0" fontId="22" fillId="0" borderId="36" xfId="0" applyFont="1" applyFill="1" applyBorder="1"/>
    <xf numFmtId="0" fontId="22" fillId="0" borderId="0" xfId="0" applyFont="1" applyBorder="1"/>
    <xf numFmtId="0" fontId="22" fillId="0" borderId="69" xfId="0" applyFont="1" applyBorder="1"/>
    <xf numFmtId="0" fontId="18" fillId="0" borderId="69" xfId="0" applyFont="1" applyFill="1" applyBorder="1" applyAlignment="1">
      <alignment vertical="top"/>
    </xf>
    <xf numFmtId="0" fontId="20" fillId="0" borderId="36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0" borderId="69" xfId="0" applyFont="1" applyFill="1" applyBorder="1" applyAlignment="1">
      <alignment vertical="top"/>
    </xf>
    <xf numFmtId="0" fontId="20" fillId="0" borderId="36" xfId="0" applyFont="1" applyFill="1" applyBorder="1"/>
    <xf numFmtId="0" fontId="20" fillId="0" borderId="0" xfId="0" applyFont="1" applyFill="1" applyBorder="1"/>
    <xf numFmtId="0" fontId="20" fillId="0" borderId="69" xfId="0" applyFont="1" applyFill="1" applyBorder="1"/>
    <xf numFmtId="0" fontId="18" fillId="0" borderId="102" xfId="0" applyFont="1" applyFill="1" applyBorder="1" applyAlignment="1">
      <alignment vertical="top"/>
    </xf>
    <xf numFmtId="0" fontId="18" fillId="0" borderId="72" xfId="0" applyFont="1" applyFill="1" applyBorder="1" applyAlignment="1">
      <alignment vertical="top"/>
    </xf>
    <xf numFmtId="0" fontId="19" fillId="0" borderId="126" xfId="0" applyFont="1" applyFill="1" applyBorder="1" applyAlignment="1">
      <alignment horizontal="left" vertical="top"/>
    </xf>
    <xf numFmtId="0" fontId="18" fillId="0" borderId="126" xfId="0" applyFont="1" applyFill="1" applyBorder="1" applyAlignment="1">
      <alignment horizontal="center" vertical="top"/>
    </xf>
    <xf numFmtId="0" fontId="39" fillId="0" borderId="2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39" fillId="0" borderId="0" xfId="0" applyFont="1" applyFill="1" applyAlignment="1">
      <alignment horizontal="left"/>
    </xf>
    <xf numFmtId="0" fontId="39" fillId="0" borderId="0" xfId="0" applyFont="1" applyFill="1" applyAlignment="1">
      <alignment horizontal="center"/>
    </xf>
    <xf numFmtId="0" fontId="39" fillId="0" borderId="5" xfId="0" applyFont="1" applyFill="1" applyBorder="1" applyAlignment="1">
      <alignment vertical="top"/>
    </xf>
    <xf numFmtId="0" fontId="36" fillId="0" borderId="16" xfId="0" applyFont="1" applyFill="1" applyBorder="1"/>
    <xf numFmtId="0" fontId="36" fillId="0" borderId="113" xfId="0" applyFont="1" applyFill="1" applyBorder="1"/>
    <xf numFmtId="0" fontId="36" fillId="0" borderId="6" xfId="0" applyFont="1" applyFill="1" applyBorder="1" applyAlignment="1">
      <alignment vertical="top" wrapText="1"/>
    </xf>
    <xf numFmtId="188" fontId="36" fillId="0" borderId="6" xfId="50" applyNumberFormat="1" applyFont="1" applyFill="1" applyBorder="1" applyAlignment="1">
      <alignment horizontal="center" vertical="top"/>
    </xf>
    <xf numFmtId="187" fontId="36" fillId="0" borderId="6" xfId="50" applyFont="1" applyFill="1" applyBorder="1" applyAlignment="1">
      <alignment horizontal="center" vertical="top"/>
    </xf>
    <xf numFmtId="187" fontId="36" fillId="0" borderId="7" xfId="50" applyFont="1" applyFill="1" applyBorder="1" applyAlignment="1">
      <alignment vertical="top"/>
    </xf>
    <xf numFmtId="187" fontId="36" fillId="0" borderId="22" xfId="50" applyFont="1" applyFill="1" applyBorder="1" applyAlignment="1">
      <alignment vertical="top"/>
    </xf>
    <xf numFmtId="0" fontId="36" fillId="0" borderId="24" xfId="0" applyFont="1" applyFill="1" applyBorder="1" applyAlignment="1">
      <alignment vertical="top" wrapText="1"/>
    </xf>
    <xf numFmtId="188" fontId="36" fillId="0" borderId="25" xfId="50" applyNumberFormat="1" applyFont="1" applyFill="1" applyBorder="1" applyAlignment="1">
      <alignment horizontal="center" vertical="top"/>
    </xf>
    <xf numFmtId="187" fontId="36" fillId="0" borderId="25" xfId="50" applyFont="1" applyFill="1" applyBorder="1" applyAlignment="1">
      <alignment horizontal="center" vertical="top"/>
    </xf>
    <xf numFmtId="187" fontId="36" fillId="0" borderId="26" xfId="50" applyFont="1" applyFill="1" applyBorder="1" applyAlignment="1">
      <alignment vertical="top"/>
    </xf>
    <xf numFmtId="43" fontId="39" fillId="0" borderId="0" xfId="0" applyNumberFormat="1" applyFont="1" applyFill="1" applyAlignment="1">
      <alignment vertical="top"/>
    </xf>
    <xf numFmtId="188" fontId="36" fillId="0" borderId="13" xfId="50" applyNumberFormat="1" applyFont="1" applyFill="1" applyBorder="1" applyAlignment="1">
      <alignment horizontal="center"/>
    </xf>
    <xf numFmtId="0" fontId="36" fillId="0" borderId="5" xfId="0" applyFont="1" applyFill="1" applyBorder="1" applyAlignment="1">
      <alignment vertical="top" wrapText="1"/>
    </xf>
    <xf numFmtId="0" fontId="46" fillId="0" borderId="0" xfId="0" applyFont="1" applyFill="1" applyAlignment="1">
      <alignment vertical="top"/>
    </xf>
    <xf numFmtId="0" fontId="36" fillId="0" borderId="28" xfId="0" applyFont="1" applyFill="1" applyBorder="1" applyAlignment="1">
      <alignment horizontal="center" wrapText="1"/>
    </xf>
    <xf numFmtId="0" fontId="36" fillId="0" borderId="113" xfId="0" applyFont="1" applyFill="1" applyBorder="1" applyAlignment="1">
      <alignment wrapText="1" shrinkToFit="1"/>
    </xf>
    <xf numFmtId="0" fontId="36" fillId="0" borderId="18" xfId="0" applyFont="1" applyFill="1" applyBorder="1" applyAlignment="1">
      <alignment horizontal="center" vertical="top" shrinkToFit="1"/>
    </xf>
    <xf numFmtId="0" fontId="39" fillId="0" borderId="29" xfId="0" applyFont="1" applyFill="1" applyBorder="1" applyAlignment="1">
      <alignment vertical="top"/>
    </xf>
    <xf numFmtId="0" fontId="39" fillId="0" borderId="50" xfId="0" applyFont="1" applyFill="1" applyBorder="1" applyAlignment="1">
      <alignment vertical="top" wrapText="1"/>
    </xf>
    <xf numFmtId="187" fontId="39" fillId="0" borderId="31" xfId="50" applyFont="1" applyFill="1" applyBorder="1" applyAlignment="1">
      <alignment vertical="top"/>
    </xf>
    <xf numFmtId="188" fontId="39" fillId="0" borderId="31" xfId="50" applyNumberFormat="1" applyFont="1" applyFill="1" applyBorder="1" applyAlignment="1">
      <alignment horizontal="center" vertical="top"/>
    </xf>
    <xf numFmtId="187" fontId="39" fillId="0" borderId="31" xfId="50" applyFont="1" applyFill="1" applyBorder="1" applyAlignment="1">
      <alignment horizontal="center" vertical="top"/>
    </xf>
    <xf numFmtId="0" fontId="36" fillId="0" borderId="112" xfId="0" applyFont="1" applyFill="1" applyBorder="1" applyAlignment="1">
      <alignment vertical="top" wrapText="1"/>
    </xf>
    <xf numFmtId="189" fontId="36" fillId="0" borderId="0" xfId="0" applyNumberFormat="1" applyFont="1" applyFill="1" applyAlignment="1">
      <alignment vertical="top"/>
    </xf>
    <xf numFmtId="0" fontId="36" fillId="0" borderId="16" xfId="0" applyFont="1" applyFill="1" applyBorder="1" applyAlignment="1">
      <alignment wrapText="1"/>
    </xf>
    <xf numFmtId="0" fontId="36" fillId="0" borderId="33" xfId="0" applyFont="1" applyFill="1" applyBorder="1"/>
    <xf numFmtId="0" fontId="36" fillId="0" borderId="95" xfId="0" applyFont="1" applyFill="1" applyBorder="1"/>
    <xf numFmtId="187" fontId="36" fillId="0" borderId="34" xfId="50" applyFont="1" applyFill="1" applyBorder="1" applyAlignment="1">
      <alignment vertical="top"/>
    </xf>
    <xf numFmtId="0" fontId="39" fillId="0" borderId="114" xfId="0" applyFont="1" applyFill="1" applyBorder="1" applyAlignment="1">
      <alignment vertical="top" wrapText="1"/>
    </xf>
    <xf numFmtId="188" fontId="39" fillId="0" borderId="21" xfId="50" applyNumberFormat="1" applyFont="1" applyFill="1" applyBorder="1" applyAlignment="1">
      <alignment horizontal="center" vertical="top"/>
    </xf>
    <xf numFmtId="187" fontId="39" fillId="0" borderId="21" xfId="50" applyFont="1" applyFill="1" applyBorder="1" applyAlignment="1">
      <alignment horizontal="center" vertical="top"/>
    </xf>
    <xf numFmtId="188" fontId="36" fillId="0" borderId="0" xfId="50" applyNumberFormat="1" applyFont="1" applyFill="1" applyBorder="1" applyAlignment="1">
      <alignment horizontal="center"/>
    </xf>
    <xf numFmtId="190" fontId="36" fillId="0" borderId="0" xfId="50" applyNumberFormat="1" applyFont="1" applyFill="1"/>
    <xf numFmtId="0" fontId="30" fillId="0" borderId="87" xfId="0" applyFont="1" applyFill="1" applyBorder="1" applyAlignment="1">
      <alignment horizontal="center"/>
    </xf>
    <xf numFmtId="0" fontId="30" fillId="0" borderId="114" xfId="0" applyFont="1" applyFill="1" applyBorder="1" applyAlignment="1">
      <alignment horizontal="center"/>
    </xf>
    <xf numFmtId="0" fontId="30" fillId="0" borderId="110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19" fillId="0" borderId="56" xfId="0" applyFont="1" applyFill="1" applyBorder="1" applyAlignment="1">
      <alignment horizontal="center" vertical="center" wrapText="1" shrinkToFit="1"/>
    </xf>
    <xf numFmtId="0" fontId="19" fillId="0" borderId="77" xfId="0" applyFont="1" applyFill="1" applyBorder="1" applyAlignment="1">
      <alignment horizontal="center" vertical="center" wrapText="1" shrinkToFit="1"/>
    </xf>
    <xf numFmtId="0" fontId="39" fillId="0" borderId="119" xfId="0" applyFont="1" applyFill="1" applyBorder="1" applyAlignment="1">
      <alignment horizontal="center" vertical="center"/>
    </xf>
    <xf numFmtId="0" fontId="39" fillId="0" borderId="107" xfId="0" applyFont="1" applyFill="1" applyBorder="1" applyAlignment="1">
      <alignment horizontal="center" vertical="center"/>
    </xf>
    <xf numFmtId="0" fontId="39" fillId="8" borderId="70" xfId="0" applyFont="1" applyFill="1" applyBorder="1" applyAlignment="1">
      <alignment horizontal="center" vertical="top"/>
    </xf>
    <xf numFmtId="0" fontId="39" fillId="8" borderId="71" xfId="0" applyFont="1" applyFill="1" applyBorder="1" applyAlignment="1">
      <alignment horizontal="center" vertical="top"/>
    </xf>
    <xf numFmtId="187" fontId="39" fillId="0" borderId="20" xfId="50" applyFont="1" applyFill="1" applyBorder="1" applyAlignment="1">
      <alignment horizontal="center"/>
    </xf>
    <xf numFmtId="187" fontId="39" fillId="0" borderId="6" xfId="50" applyFont="1" applyFill="1" applyBorder="1" applyAlignment="1">
      <alignment horizontal="center"/>
    </xf>
    <xf numFmtId="187" fontId="39" fillId="0" borderId="7" xfId="50" applyFont="1" applyFill="1" applyBorder="1" applyAlignment="1">
      <alignment horizontal="center"/>
    </xf>
    <xf numFmtId="187" fontId="39" fillId="0" borderId="4" xfId="50" applyFont="1" applyFill="1" applyBorder="1" applyAlignment="1">
      <alignment horizontal="center"/>
    </xf>
    <xf numFmtId="187" fontId="39" fillId="0" borderId="114" xfId="50" applyFont="1" applyFill="1" applyBorder="1" applyAlignment="1">
      <alignment horizontal="center"/>
    </xf>
    <xf numFmtId="187" fontId="39" fillId="0" borderId="110" xfId="50" applyFont="1" applyFill="1" applyBorder="1" applyAlignment="1">
      <alignment horizontal="center"/>
    </xf>
    <xf numFmtId="187" fontId="36" fillId="0" borderId="27" xfId="50" applyFont="1" applyFill="1" applyBorder="1" applyAlignment="1">
      <alignment horizontal="center" wrapText="1"/>
    </xf>
    <xf numFmtId="0" fontId="22" fillId="0" borderId="31" xfId="0" applyFont="1" applyBorder="1" applyAlignment="1">
      <alignment horizontal="center" wrapText="1"/>
    </xf>
    <xf numFmtId="0" fontId="39" fillId="0" borderId="86" xfId="0" applyFont="1" applyFill="1" applyBorder="1" applyAlignment="1">
      <alignment horizontal="center"/>
    </xf>
    <xf numFmtId="0" fontId="39" fillId="0" borderId="105" xfId="0" applyFont="1" applyFill="1" applyBorder="1" applyAlignment="1">
      <alignment horizontal="center"/>
    </xf>
    <xf numFmtId="0" fontId="39" fillId="0" borderId="70" xfId="0" applyFont="1" applyFill="1" applyBorder="1" applyAlignment="1">
      <alignment horizontal="center" vertical="top"/>
    </xf>
    <xf numFmtId="0" fontId="39" fillId="0" borderId="71" xfId="0" applyFont="1" applyFill="1" applyBorder="1" applyAlignment="1">
      <alignment horizontal="center" vertical="top"/>
    </xf>
    <xf numFmtId="0" fontId="58" fillId="0" borderId="20" xfId="0" applyFont="1" applyFill="1" applyBorder="1" applyAlignment="1">
      <alignment horizontal="center" vertical="top" shrinkToFit="1"/>
    </xf>
    <xf numFmtId="0" fontId="58" fillId="0" borderId="6" xfId="0" applyFont="1" applyFill="1" applyBorder="1" applyAlignment="1">
      <alignment horizontal="center" vertical="top" shrinkToFit="1"/>
    </xf>
    <xf numFmtId="0" fontId="58" fillId="0" borderId="4" xfId="0" applyFont="1" applyFill="1" applyBorder="1" applyAlignment="1">
      <alignment horizontal="center" vertical="top" shrinkToFit="1"/>
    </xf>
    <xf numFmtId="0" fontId="58" fillId="0" borderId="114" xfId="0" applyFont="1" applyFill="1" applyBorder="1" applyAlignment="1">
      <alignment horizontal="center" vertical="top" shrinkToFit="1"/>
    </xf>
    <xf numFmtId="0" fontId="62" fillId="0" borderId="0" xfId="0" applyFont="1" applyFill="1" applyAlignment="1">
      <alignment horizontal="center" vertical="center"/>
    </xf>
    <xf numFmtId="0" fontId="58" fillId="0" borderId="86" xfId="0" applyFont="1" applyFill="1" applyBorder="1" applyAlignment="1">
      <alignment horizontal="center" vertical="center" wrapText="1"/>
    </xf>
    <xf numFmtId="0" fontId="58" fillId="0" borderId="103" xfId="0" applyFont="1" applyFill="1" applyBorder="1" applyAlignment="1">
      <alignment horizontal="center" vertical="center" wrapText="1"/>
    </xf>
    <xf numFmtId="0" fontId="58" fillId="0" borderId="70" xfId="0" applyFont="1" applyFill="1" applyBorder="1" applyAlignment="1">
      <alignment horizontal="center" vertical="center" wrapText="1"/>
    </xf>
    <xf numFmtId="0" fontId="58" fillId="0" borderId="102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horizontal="center" vertical="center"/>
    </xf>
    <xf numFmtId="0" fontId="58" fillId="0" borderId="83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52" xfId="0" applyFont="1" applyFill="1" applyBorder="1" applyAlignment="1">
      <alignment horizontal="center" vertical="center" wrapText="1"/>
    </xf>
    <xf numFmtId="0" fontId="58" fillId="0" borderId="89" xfId="0" applyFont="1" applyFill="1" applyBorder="1" applyAlignment="1">
      <alignment horizontal="center" vertical="center" wrapText="1"/>
    </xf>
    <xf numFmtId="0" fontId="20" fillId="0" borderId="119" xfId="0" applyFont="1" applyFill="1" applyBorder="1" applyAlignment="1">
      <alignment horizontal="center" vertical="top"/>
    </xf>
    <xf numFmtId="0" fontId="20" fillId="0" borderId="132" xfId="0" applyFont="1" applyFill="1" applyBorder="1" applyAlignment="1">
      <alignment horizontal="center" vertical="top"/>
    </xf>
    <xf numFmtId="187" fontId="57" fillId="0" borderId="0" xfId="50" applyFont="1" applyFill="1" applyAlignment="1">
      <alignment horizontal="center"/>
    </xf>
    <xf numFmtId="187" fontId="68" fillId="0" borderId="0" xfId="50" applyFont="1" applyFill="1" applyAlignment="1">
      <alignment horizontal="center"/>
    </xf>
    <xf numFmtId="187" fontId="58" fillId="0" borderId="133" xfId="50" applyFont="1" applyFill="1" applyBorder="1" applyAlignment="1">
      <alignment horizontal="center" vertical="center" wrapText="1"/>
    </xf>
    <xf numFmtId="187" fontId="58" fillId="0" borderId="125" xfId="50" applyFont="1" applyFill="1" applyBorder="1" applyAlignment="1">
      <alignment horizontal="center" vertical="center" wrapText="1"/>
    </xf>
    <xf numFmtId="187" fontId="58" fillId="0" borderId="20" xfId="50" applyFont="1" applyFill="1" applyBorder="1" applyAlignment="1">
      <alignment horizontal="center"/>
    </xf>
    <xf numFmtId="187" fontId="58" fillId="0" borderId="6" xfId="50" applyFont="1" applyFill="1" applyBorder="1" applyAlignment="1">
      <alignment horizontal="center"/>
    </xf>
    <xf numFmtId="187" fontId="58" fillId="0" borderId="7" xfId="50" applyFont="1" applyFill="1" applyBorder="1" applyAlignment="1">
      <alignment horizontal="center"/>
    </xf>
    <xf numFmtId="0" fontId="19" fillId="0" borderId="119" xfId="0" applyFont="1" applyFill="1" applyBorder="1" applyAlignment="1">
      <alignment horizontal="center" vertical="top"/>
    </xf>
    <xf numFmtId="0" fontId="19" fillId="0" borderId="132" xfId="0" applyFont="1" applyFill="1" applyBorder="1" applyAlignment="1">
      <alignment horizontal="center" vertical="top"/>
    </xf>
    <xf numFmtId="0" fontId="39" fillId="0" borderId="5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86" xfId="0" applyFont="1" applyFill="1" applyBorder="1" applyAlignment="1">
      <alignment horizontal="center" vertical="center" wrapText="1"/>
    </xf>
    <xf numFmtId="0" fontId="39" fillId="0" borderId="105" xfId="0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57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9" fillId="0" borderId="114" xfId="0" applyFont="1" applyFill="1" applyBorder="1" applyAlignment="1">
      <alignment horizontal="center"/>
    </xf>
    <xf numFmtId="0" fontId="39" fillId="0" borderId="110" xfId="0" applyFont="1" applyFill="1" applyBorder="1" applyAlignment="1">
      <alignment horizontal="center"/>
    </xf>
    <xf numFmtId="0" fontId="19" fillId="0" borderId="107" xfId="0" applyFont="1" applyFill="1" applyBorder="1" applyAlignment="1">
      <alignment horizontal="center" vertical="top"/>
    </xf>
    <xf numFmtId="187" fontId="36" fillId="0" borderId="0" xfId="50" applyFont="1" applyFill="1" applyAlignment="1">
      <alignment horizontal="center"/>
    </xf>
    <xf numFmtId="187" fontId="38" fillId="0" borderId="0" xfId="50" applyFont="1" applyFill="1" applyAlignment="1">
      <alignment horizontal="center"/>
    </xf>
    <xf numFmtId="187" fontId="39" fillId="0" borderId="134" xfId="50" applyFont="1" applyFill="1" applyBorder="1" applyAlignment="1">
      <alignment horizontal="center" vertical="center" wrapText="1"/>
    </xf>
    <xf numFmtId="187" fontId="39" fillId="0" borderId="128" xfId="5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center" vertical="top"/>
    </xf>
    <xf numFmtId="0" fontId="20" fillId="0" borderId="108" xfId="0" applyFont="1" applyFill="1" applyBorder="1" applyAlignment="1">
      <alignment horizontal="center" vertical="top"/>
    </xf>
    <xf numFmtId="187" fontId="48" fillId="0" borderId="0" xfId="50" applyFont="1" applyFill="1" applyAlignment="1">
      <alignment horizontal="center"/>
    </xf>
    <xf numFmtId="187" fontId="39" fillId="0" borderId="126" xfId="50" applyFont="1" applyFill="1" applyBorder="1" applyAlignment="1">
      <alignment horizontal="center" vertical="center" wrapText="1"/>
    </xf>
    <xf numFmtId="187" fontId="39" fillId="0" borderId="20" xfId="50" applyFont="1" applyFill="1" applyBorder="1" applyAlignment="1">
      <alignment horizontal="center" vertical="center"/>
    </xf>
    <xf numFmtId="187" fontId="39" fillId="0" borderId="6" xfId="50" applyFont="1" applyFill="1" applyBorder="1" applyAlignment="1">
      <alignment horizontal="center" vertical="center"/>
    </xf>
    <xf numFmtId="187" fontId="39" fillId="0" borderId="7" xfId="50" applyFont="1" applyFill="1" applyBorder="1" applyAlignment="1">
      <alignment horizontal="center" vertical="center"/>
    </xf>
    <xf numFmtId="187" fontId="39" fillId="0" borderId="4" xfId="50" applyFont="1" applyFill="1" applyBorder="1" applyAlignment="1">
      <alignment horizontal="center" vertical="center"/>
    </xf>
    <xf numFmtId="0" fontId="49" fillId="0" borderId="114" xfId="0" applyFont="1" applyFill="1" applyBorder="1"/>
    <xf numFmtId="0" fontId="49" fillId="0" borderId="110" xfId="0" applyFont="1" applyFill="1" applyBorder="1"/>
    <xf numFmtId="187" fontId="39" fillId="0" borderId="11" xfId="50" applyFont="1" applyFill="1" applyBorder="1" applyAlignment="1">
      <alignment horizontal="center" vertical="center" wrapText="1"/>
    </xf>
    <xf numFmtId="187" fontId="39" fillId="0" borderId="41" xfId="50" applyFont="1" applyFill="1" applyBorder="1" applyAlignment="1">
      <alignment horizontal="center" vertical="center" wrapText="1"/>
    </xf>
    <xf numFmtId="187" fontId="39" fillId="0" borderId="44" xfId="50" applyFont="1" applyFill="1" applyBorder="1" applyAlignment="1">
      <alignment horizontal="center" vertical="center"/>
    </xf>
    <xf numFmtId="187" fontId="39" fillId="0" borderId="11" xfId="50" applyFont="1" applyFill="1" applyBorder="1" applyAlignment="1">
      <alignment horizontal="center" vertical="center"/>
    </xf>
    <xf numFmtId="187" fontId="39" fillId="0" borderId="40" xfId="50" applyFont="1" applyFill="1" applyBorder="1" applyAlignment="1">
      <alignment horizontal="center" vertical="center"/>
    </xf>
    <xf numFmtId="187" fontId="39" fillId="0" borderId="40" xfId="50" applyFont="1" applyFill="1" applyBorder="1" applyAlignment="1">
      <alignment horizontal="center" vertical="center" wrapText="1"/>
    </xf>
    <xf numFmtId="187" fontId="39" fillId="0" borderId="114" xfId="50" applyFont="1" applyFill="1" applyBorder="1" applyAlignment="1">
      <alignment horizontal="center" vertical="center"/>
    </xf>
    <xf numFmtId="187" fontId="39" fillId="0" borderId="110" xfId="50" applyFont="1" applyFill="1" applyBorder="1" applyAlignment="1">
      <alignment horizontal="center" vertical="center"/>
    </xf>
    <xf numFmtId="187" fontId="39" fillId="0" borderId="73" xfId="50" applyFont="1" applyFill="1" applyBorder="1" applyAlignment="1">
      <alignment horizontal="center" vertical="center" wrapText="1"/>
    </xf>
    <xf numFmtId="187" fontId="36" fillId="0" borderId="76" xfId="5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top"/>
    </xf>
    <xf numFmtId="0" fontId="20" fillId="0" borderId="110" xfId="0" applyFont="1" applyFill="1" applyBorder="1" applyAlignment="1">
      <alignment horizontal="center" vertical="top"/>
    </xf>
    <xf numFmtId="0" fontId="20" fillId="0" borderId="83" xfId="0" applyFont="1" applyFill="1" applyBorder="1" applyAlignment="1">
      <alignment horizontal="center" vertical="center" wrapText="1"/>
    </xf>
    <xf numFmtId="0" fontId="20" fillId="0" borderId="77" xfId="0" applyFont="1" applyFill="1" applyBorder="1" applyAlignment="1">
      <alignment horizontal="center" vertical="center" wrapText="1"/>
    </xf>
    <xf numFmtId="187" fontId="19" fillId="0" borderId="86" xfId="50" applyFont="1" applyFill="1" applyBorder="1" applyAlignment="1">
      <alignment horizontal="center" vertical="center" wrapText="1"/>
    </xf>
    <xf numFmtId="187" fontId="19" fillId="0" borderId="117" xfId="50" applyFont="1" applyFill="1" applyBorder="1" applyAlignment="1">
      <alignment horizontal="center" vertical="center" wrapText="1"/>
    </xf>
    <xf numFmtId="187" fontId="19" fillId="0" borderId="76" xfId="50" applyFont="1" applyFill="1" applyBorder="1" applyAlignment="1">
      <alignment horizontal="center" vertical="center" wrapText="1"/>
    </xf>
    <xf numFmtId="187" fontId="19" fillId="0" borderId="111" xfId="50" applyFont="1" applyFill="1" applyBorder="1" applyAlignment="1">
      <alignment horizontal="center" vertical="center" wrapText="1"/>
    </xf>
    <xf numFmtId="187" fontId="19" fillId="0" borderId="45" xfId="50" applyFont="1" applyFill="1" applyBorder="1" applyAlignment="1">
      <alignment horizontal="center" vertical="top"/>
    </xf>
    <xf numFmtId="187" fontId="19" fillId="0" borderId="46" xfId="50" applyFont="1" applyFill="1" applyBorder="1" applyAlignment="1">
      <alignment horizontal="center" vertical="top"/>
    </xf>
    <xf numFmtId="187" fontId="19" fillId="0" borderId="0" xfId="50" applyFont="1" applyFill="1" applyAlignment="1">
      <alignment horizontal="center"/>
    </xf>
    <xf numFmtId="187" fontId="19" fillId="0" borderId="4" xfId="50" applyFont="1" applyFill="1" applyBorder="1" applyAlignment="1">
      <alignment horizontal="center" vertical="center"/>
    </xf>
    <xf numFmtId="187" fontId="19" fillId="0" borderId="114" xfId="50" applyFont="1" applyFill="1" applyBorder="1" applyAlignment="1">
      <alignment horizontal="center" vertical="center"/>
    </xf>
    <xf numFmtId="187" fontId="19" fillId="0" borderId="20" xfId="50" applyFont="1" applyFill="1" applyBorder="1" applyAlignment="1">
      <alignment horizontal="center" vertical="center"/>
    </xf>
    <xf numFmtId="187" fontId="19" fillId="0" borderId="6" xfId="50" applyFont="1" applyFill="1" applyBorder="1" applyAlignment="1">
      <alignment horizontal="center" vertical="center"/>
    </xf>
    <xf numFmtId="187" fontId="19" fillId="0" borderId="7" xfId="50" applyFont="1" applyFill="1" applyBorder="1" applyAlignment="1">
      <alignment horizontal="center" vertical="center"/>
    </xf>
    <xf numFmtId="0" fontId="22" fillId="0" borderId="117" xfId="0" applyFont="1" applyFill="1" applyBorder="1" applyAlignment="1">
      <alignment horizontal="center" vertical="center" wrapText="1"/>
    </xf>
    <xf numFmtId="0" fontId="22" fillId="0" borderId="76" xfId="0" applyFont="1" applyFill="1" applyBorder="1" applyAlignment="1">
      <alignment horizontal="center" vertical="center" wrapText="1"/>
    </xf>
    <xf numFmtId="0" fontId="22" fillId="0" borderId="111" xfId="0" applyFont="1" applyFill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top"/>
    </xf>
    <xf numFmtId="0" fontId="54" fillId="0" borderId="110" xfId="0" applyFont="1" applyBorder="1" applyAlignment="1">
      <alignment horizontal="center" vertical="top"/>
    </xf>
    <xf numFmtId="0" fontId="70" fillId="0" borderId="0" xfId="118" applyFont="1" applyAlignment="1">
      <alignment horizontal="center"/>
    </xf>
    <xf numFmtId="0" fontId="37" fillId="0" borderId="0" xfId="118" applyFont="1"/>
    <xf numFmtId="0" fontId="37" fillId="0" borderId="0" xfId="118" applyFont="1" applyAlignment="1">
      <alignment horizontal="center"/>
    </xf>
    <xf numFmtId="43" fontId="37" fillId="0" borderId="0" xfId="119" applyFont="1"/>
    <xf numFmtId="49" fontId="37" fillId="0" borderId="0" xfId="118" applyNumberFormat="1" applyFont="1"/>
    <xf numFmtId="0" fontId="37" fillId="0" borderId="100" xfId="118" applyFont="1" applyBorder="1"/>
    <xf numFmtId="43" fontId="37" fillId="0" borderId="100" xfId="119" applyFont="1" applyBorder="1"/>
    <xf numFmtId="3" fontId="37" fillId="0" borderId="0" xfId="118" applyNumberFormat="1" applyFont="1"/>
  </cellXfs>
  <cellStyles count="120">
    <cellStyle name="Comma 2" xfId="1" xr:uid="{00000000-0005-0000-0000-000000000000}"/>
    <cellStyle name="Comma 2 2" xfId="2" xr:uid="{00000000-0005-0000-0000-000001000000}"/>
    <cellStyle name="Comma 2 2 2" xfId="3" xr:uid="{00000000-0005-0000-0000-000002000000}"/>
    <cellStyle name="Comma 2 2 2 2" xfId="63" xr:uid="{B7664901-4420-48C2-8622-96D4CCED065E}"/>
    <cellStyle name="Comma 2 2 3" xfId="62" xr:uid="{11A17053-8405-422B-B084-B01BC71A3697}"/>
    <cellStyle name="Comma 2 3" xfId="61" xr:uid="{F9703F93-5AD9-49D4-9A27-27281E1CBEAB}"/>
    <cellStyle name="Comma 3" xfId="4" xr:uid="{00000000-0005-0000-0000-000003000000}"/>
    <cellStyle name="Comma 3 2" xfId="5" xr:uid="{00000000-0005-0000-0000-000004000000}"/>
    <cellStyle name="Comma 3 2 2" xfId="6" xr:uid="{00000000-0005-0000-0000-000005000000}"/>
    <cellStyle name="Comma 3 2 2 2" xfId="7" xr:uid="{00000000-0005-0000-0000-000006000000}"/>
    <cellStyle name="Comma 3 2 2 2 2" xfId="67" xr:uid="{795384E6-6F34-4C68-BD9E-001263EB8A7B}"/>
    <cellStyle name="Comma 3 2 2 3" xfId="66" xr:uid="{C68AF9EC-526C-4517-8A7C-8FB32FD3B504}"/>
    <cellStyle name="Comma 3 2 3" xfId="65" xr:uid="{6E88FA59-AB67-47AA-A828-18F10428E9D0}"/>
    <cellStyle name="Comma 3 3" xfId="8" xr:uid="{00000000-0005-0000-0000-000007000000}"/>
    <cellStyle name="Comma 3 3 2" xfId="9" xr:uid="{00000000-0005-0000-0000-000008000000}"/>
    <cellStyle name="Comma 3 3 2 2" xfId="69" xr:uid="{F1EE72E7-21C8-4629-96C0-527CA3D42A56}"/>
    <cellStyle name="Comma 3 3 3" xfId="68" xr:uid="{8A9E32A4-48FD-42E2-821E-F758416E997C}"/>
    <cellStyle name="Comma 3 4" xfId="64" xr:uid="{EF1CBCE5-8736-485A-8531-C28B68C799D3}"/>
    <cellStyle name="Comma 4" xfId="10" xr:uid="{00000000-0005-0000-0000-000009000000}"/>
    <cellStyle name="Comma 4 2" xfId="11" xr:uid="{00000000-0005-0000-0000-00000A000000}"/>
    <cellStyle name="Comma 4 2 2" xfId="12" xr:uid="{00000000-0005-0000-0000-00000B000000}"/>
    <cellStyle name="Comma 4 2 2 2" xfId="72" xr:uid="{53CA9614-E0D5-4420-8774-4DE6BB4E35A7}"/>
    <cellStyle name="Comma 4 2 3" xfId="71" xr:uid="{FCDBCAA8-EE0D-4476-9A24-FF4723A0D7CB}"/>
    <cellStyle name="Comma 4 3" xfId="70" xr:uid="{7228954A-735D-42AD-8DDE-B24476187B5D}"/>
    <cellStyle name="Comma 5" xfId="13" xr:uid="{00000000-0005-0000-0000-00000C000000}"/>
    <cellStyle name="Comma 5 2" xfId="14" xr:uid="{00000000-0005-0000-0000-00000D000000}"/>
    <cellStyle name="Comma 5 2 2" xfId="15" xr:uid="{00000000-0005-0000-0000-00000E000000}"/>
    <cellStyle name="Comma 5 2 2 2" xfId="75" xr:uid="{E224D72C-99B1-4F3A-804A-F6E157C2BA37}"/>
    <cellStyle name="Comma 5 2 3" xfId="74" xr:uid="{C878A2FB-3340-403D-8D01-71F690E73BE1}"/>
    <cellStyle name="Comma 5 3" xfId="16" xr:uid="{00000000-0005-0000-0000-00000F000000}"/>
    <cellStyle name="Comma 5 3 2" xfId="76" xr:uid="{1D77BC6F-40CE-446E-AA65-9738ECDB2DE7}"/>
    <cellStyle name="Comma 5 4" xfId="73" xr:uid="{39142490-D16E-4DDF-86DE-C3232AC7F5EF}"/>
    <cellStyle name="Comma 6" xfId="17" xr:uid="{00000000-0005-0000-0000-000010000000}"/>
    <cellStyle name="Comma 6 2" xfId="18" xr:uid="{00000000-0005-0000-0000-000011000000}"/>
    <cellStyle name="Comma 6 2 2" xfId="19" xr:uid="{00000000-0005-0000-0000-000012000000}"/>
    <cellStyle name="Comma 6 2 2 2" xfId="20" xr:uid="{00000000-0005-0000-0000-000013000000}"/>
    <cellStyle name="Comma 6 2 2 2 2" xfId="80" xr:uid="{FD06F842-12EB-440C-AB10-259A227C9FCA}"/>
    <cellStyle name="Comma 6 2 2 3" xfId="79" xr:uid="{B4CB1DE4-E3F6-45B4-B6D2-D907DF95F8B1}"/>
    <cellStyle name="Comma 6 2 3" xfId="78" xr:uid="{8AE172D4-3C7F-4CDE-A4B3-4F52AB293668}"/>
    <cellStyle name="Comma 6 3" xfId="21" xr:uid="{00000000-0005-0000-0000-000014000000}"/>
    <cellStyle name="Comma 6 3 2" xfId="22" xr:uid="{00000000-0005-0000-0000-000015000000}"/>
    <cellStyle name="Comma 6 3 2 2" xfId="82" xr:uid="{64A87574-1379-41FA-A0DA-FC1053ABB58B}"/>
    <cellStyle name="Comma 6 3 3" xfId="81" xr:uid="{94A08561-9249-4C2B-8C7E-65529605DE64}"/>
    <cellStyle name="Comma 6 4" xfId="77" xr:uid="{F4E666F2-79BD-4408-9275-9C72CBDFC4A9}"/>
    <cellStyle name="Comma 7" xfId="23" xr:uid="{00000000-0005-0000-0000-000016000000}"/>
    <cellStyle name="Comma 7 2" xfId="24" xr:uid="{00000000-0005-0000-0000-000017000000}"/>
    <cellStyle name="Comma 7 2 2" xfId="25" xr:uid="{00000000-0005-0000-0000-000018000000}"/>
    <cellStyle name="Comma 7 2 2 2" xfId="26" xr:uid="{00000000-0005-0000-0000-000019000000}"/>
    <cellStyle name="Comma 7 2 2 2 2" xfId="86" xr:uid="{63648AD6-DC30-4206-803B-574BF57073E8}"/>
    <cellStyle name="Comma 7 2 2 3" xfId="85" xr:uid="{C4908747-E9B7-4F99-A2ED-094EDDE8C191}"/>
    <cellStyle name="Comma 7 2 3" xfId="84" xr:uid="{5D7F0B0D-45F8-4066-8376-E92FE5A4E593}"/>
    <cellStyle name="Comma 7 3" xfId="27" xr:uid="{00000000-0005-0000-0000-00001A000000}"/>
    <cellStyle name="Comma 7 3 2" xfId="28" xr:uid="{00000000-0005-0000-0000-00001B000000}"/>
    <cellStyle name="Comma 7 3 2 2" xfId="88" xr:uid="{EF6227BE-E68C-4583-B366-EF252CED40F5}"/>
    <cellStyle name="Comma 7 3 3" xfId="87" xr:uid="{0925E2A6-9903-492E-B8CB-9D2F866618E6}"/>
    <cellStyle name="Comma 7 4" xfId="83" xr:uid="{EE9171B9-7620-422E-B1F4-963A48B8B134}"/>
    <cellStyle name="Comma 8" xfId="29" xr:uid="{00000000-0005-0000-0000-00001C000000}"/>
    <cellStyle name="Comma 8 2" xfId="30" xr:uid="{00000000-0005-0000-0000-00001D000000}"/>
    <cellStyle name="Comma 8 2 2" xfId="31" xr:uid="{00000000-0005-0000-0000-00001E000000}"/>
    <cellStyle name="Comma 8 2 2 2" xfId="91" xr:uid="{80522053-B6BD-4FFD-9A70-78C7F7F6BA36}"/>
    <cellStyle name="Comma 8 2 3" xfId="90" xr:uid="{3B68772A-2E44-49A5-9D7B-CCF3C970079B}"/>
    <cellStyle name="Comma 8 3" xfId="89" xr:uid="{9A27FA82-72C7-44C3-B33E-E26BF10EBA1C}"/>
    <cellStyle name="Comma 9" xfId="32" xr:uid="{00000000-0005-0000-0000-00001F000000}"/>
    <cellStyle name="Comma 9 2" xfId="33" xr:uid="{00000000-0005-0000-0000-000020000000}"/>
    <cellStyle name="Comma 9 2 2" xfId="34" xr:uid="{00000000-0005-0000-0000-000021000000}"/>
    <cellStyle name="Comma 9 2 2 2" xfId="94" xr:uid="{7B380CFC-7D35-48CA-8DC1-221F97533FB5}"/>
    <cellStyle name="Comma 9 2 3" xfId="93" xr:uid="{074DA822-A15F-48FF-BB10-716BFEBBFA53}"/>
    <cellStyle name="Comma 9 3" xfId="92" xr:uid="{A3356455-F34E-4A8D-A585-0292FCB5B7A7}"/>
    <cellStyle name="Normal 2" xfId="35" xr:uid="{00000000-0005-0000-0000-000022000000}"/>
    <cellStyle name="Normal 2 2" xfId="95" xr:uid="{7BB232F2-127A-4549-934D-31E6AB7C8ACD}"/>
    <cellStyle name="Normal 3" xfId="36" xr:uid="{00000000-0005-0000-0000-000023000000}"/>
    <cellStyle name="Normal 3 2" xfId="96" xr:uid="{68ABD31B-4F45-42EC-8EA2-FB2DFD2211DB}"/>
    <cellStyle name="Normal 4" xfId="37" xr:uid="{00000000-0005-0000-0000-000024000000}"/>
    <cellStyle name="Normal 4 2" xfId="38" xr:uid="{00000000-0005-0000-0000-000025000000}"/>
    <cellStyle name="Normal 4 2 2" xfId="98" xr:uid="{17895D36-45DE-4038-B389-84199350D81A}"/>
    <cellStyle name="Normal 4 3" xfId="97" xr:uid="{A1AFB763-6316-4EA4-8633-1142DF7ECF53}"/>
    <cellStyle name="SAPBEXHLevel0" xfId="39" xr:uid="{00000000-0005-0000-0000-000026000000}"/>
    <cellStyle name="SAPBEXHLevel0 2" xfId="99" xr:uid="{CCB48485-2E69-4333-97CC-BC5D2E3CB1C9}"/>
    <cellStyle name="SAPBEXstdItem" xfId="40" xr:uid="{00000000-0005-0000-0000-000027000000}"/>
    <cellStyle name="SAPBEXstdItem 2" xfId="100" xr:uid="{A8935A0A-7151-43BD-84C5-B0B550BA2B72}"/>
    <cellStyle name="เครื่องหมายจุลภาค 2" xfId="41" xr:uid="{00000000-0005-0000-0000-000028000000}"/>
    <cellStyle name="เครื่องหมายจุลภาค 2 2" xfId="42" xr:uid="{00000000-0005-0000-0000-000029000000}"/>
    <cellStyle name="เครื่องหมายจุลภาค 2 2 2" xfId="43" xr:uid="{00000000-0005-0000-0000-00002A000000}"/>
    <cellStyle name="เครื่องหมายจุลภาค 2 2 2 2" xfId="44" xr:uid="{00000000-0005-0000-0000-00002B000000}"/>
    <cellStyle name="เครื่องหมายจุลภาค 2 2 2 2 2" xfId="104" xr:uid="{55FD39BA-ED55-426B-A1E6-B4F07305D975}"/>
    <cellStyle name="เครื่องหมายจุลภาค 2 2 2 3" xfId="103" xr:uid="{5A5F4017-55FC-46CA-A570-7EE5A9F3010D}"/>
    <cellStyle name="เครื่องหมายจุลภาค 2 2 3" xfId="102" xr:uid="{4247947B-E4F2-41EE-B918-4CFB72E3110D}"/>
    <cellStyle name="เครื่องหมายจุลภาค 2 3" xfId="45" xr:uid="{00000000-0005-0000-0000-00002C000000}"/>
    <cellStyle name="เครื่องหมายจุลภาค 2 3 2" xfId="46" xr:uid="{00000000-0005-0000-0000-00002D000000}"/>
    <cellStyle name="เครื่องหมายจุลภาค 2 3 2 2" xfId="106" xr:uid="{950757FC-6564-4BEF-81F7-B7DB4C33B127}"/>
    <cellStyle name="เครื่องหมายจุลภาค 2 3 3" xfId="105" xr:uid="{304849D8-A42C-4709-8346-3BA5E5D0A95A}"/>
    <cellStyle name="เครื่องหมายจุลภาค 2 4" xfId="101" xr:uid="{F9B6BB02-961D-4328-8559-DDFC0E09A4C9}"/>
    <cellStyle name="เครื่องหมายจุลภาค 3" xfId="47" xr:uid="{00000000-0005-0000-0000-00002E000000}"/>
    <cellStyle name="เครื่องหมายจุลภาค 3 2" xfId="48" xr:uid="{00000000-0005-0000-0000-00002F000000}"/>
    <cellStyle name="เครื่องหมายจุลภาค 3 2 2" xfId="49" xr:uid="{00000000-0005-0000-0000-000030000000}"/>
    <cellStyle name="เครื่องหมายจุลภาค 3 2 2 2" xfId="109" xr:uid="{5863B9FF-3BCD-4B9B-B0BA-1A3CFFF82EC5}"/>
    <cellStyle name="เครื่องหมายจุลภาค 3 2 3" xfId="108" xr:uid="{A7D51591-0B27-4A85-8ACE-191552D69AAD}"/>
    <cellStyle name="เครื่องหมายจุลภาค 3 3" xfId="107" xr:uid="{E99E8709-E583-4D41-BF79-73509DA0B694}"/>
    <cellStyle name="จุลภาค" xfId="50" builtinId="3"/>
    <cellStyle name="จุลภาค 2" xfId="51" xr:uid="{00000000-0005-0000-0000-000032000000}"/>
    <cellStyle name="จุลภาค 2 2" xfId="52" xr:uid="{00000000-0005-0000-0000-000033000000}"/>
    <cellStyle name="จุลภาค 2 2 2" xfId="112" xr:uid="{BD4620EC-EF62-4EB4-B1B8-61D2AD755362}"/>
    <cellStyle name="จุลภาค 2 3" xfId="111" xr:uid="{8B9736BC-6AEA-4BEC-B04D-D165D217B0B5}"/>
    <cellStyle name="จุลภาค 3" xfId="53" xr:uid="{00000000-0005-0000-0000-000034000000}"/>
    <cellStyle name="จุลภาค 3 2" xfId="113" xr:uid="{F84F9F64-D835-4333-9FF2-1968D59BDC45}"/>
    <cellStyle name="จุลภาค 4" xfId="110" xr:uid="{215A67C3-49A3-4C00-930A-F644010793D2}"/>
    <cellStyle name="จุลภาค 5" xfId="119" xr:uid="{F786BCC6-BCFF-4406-B749-05F11CD353A7}"/>
    <cellStyle name="ปกติ" xfId="0" builtinId="0"/>
    <cellStyle name="ปกติ 2" xfId="54" xr:uid="{00000000-0005-0000-0000-000036000000}"/>
    <cellStyle name="ปกติ 2 2" xfId="55" xr:uid="{00000000-0005-0000-0000-000037000000}"/>
    <cellStyle name="ปกติ 2 3" xfId="114" xr:uid="{50D243A2-F56C-4098-AD95-0CDAAE23AE87}"/>
    <cellStyle name="ปกติ 3" xfId="56" xr:uid="{00000000-0005-0000-0000-000038000000}"/>
    <cellStyle name="ปกติ 4" xfId="57" xr:uid="{00000000-0005-0000-0000-000039000000}"/>
    <cellStyle name="ปกติ 4 2" xfId="115" xr:uid="{A10029EA-93D7-457D-9B00-9188EC47D642}"/>
    <cellStyle name="ปกติ 5" xfId="58" xr:uid="{00000000-0005-0000-0000-00003A000000}"/>
    <cellStyle name="ปกติ 5 2" xfId="59" xr:uid="{00000000-0005-0000-0000-00003B000000}"/>
    <cellStyle name="ปกติ 5 2 2" xfId="117" xr:uid="{42FC0F86-9E10-487A-B225-7D8A73D08BAD}"/>
    <cellStyle name="ปกติ 5 3" xfId="116" xr:uid="{2274C360-BC42-40D1-B57F-C95E7549DDEF}"/>
    <cellStyle name="ปกติ 6" xfId="60" xr:uid="{3334D38B-E0AC-4471-A60B-F95F011B8CD8}"/>
    <cellStyle name="ปกติ 7" xfId="118" xr:uid="{9D4C6C6C-8219-407E-9FF4-75D661221D62}"/>
  </cellStyles>
  <dxfs count="0"/>
  <tableStyles count="0" defaultTableStyle="TableStyleMedium9" defaultPivotStyle="PivotStyleLight16"/>
  <colors>
    <mruColors>
      <color rgb="FF0000FF"/>
      <color rgb="FF660033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295275</xdr:colOff>
      <xdr:row>5</xdr:row>
      <xdr:rowOff>152400</xdr:rowOff>
    </xdr:from>
    <xdr:to>
      <xdr:col>18</xdr:col>
      <xdr:colOff>781050</xdr:colOff>
      <xdr:row>27</xdr:row>
      <xdr:rowOff>190500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30BCF69B-2B17-4420-818C-2902EC16A890}"/>
            </a:ext>
          </a:extLst>
        </xdr:cNvPr>
        <xdr:cNvSpPr/>
      </xdr:nvSpPr>
      <xdr:spPr>
        <a:xfrm>
          <a:off x="11601450" y="2305050"/>
          <a:ext cx="485775" cy="5372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ha\Downloads\ksb1%20&#3611;&#3637;%2061%20&#3603;%2016&#3608;&#3588;61%20&#3607;&#3635;&#3586;&#3657;&#3629;&#3617;&#3641;&#362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ha.OAE\2013.09.27\Desktop\&#3605;&#3657;&#3609;&#3607;&#3640;&#3609;%20&#3611;&#3637;%2057-&#3607;&#3635;&#3651;&#3627;&#3617;&#3656;%205%20&#3585;.&#3614;.59\&#3605;&#3634;&#3619;&#3634;&#3591;&#3605;&#3657;&#3609;&#3607;&#3640;&#3609;&#3607;&#3637;&#3656;%201-12%20&#3611;&#3637;%2057%20-%2018%20&#3585;.&#3614;.5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5;&#3657;&#3609;&#3607;&#3640;&#3609;&#3612;&#3621;&#3612;&#3621;&#3636;&#3605;%20&#3611;&#3637;%2061/&#3605;&#3657;&#3609;&#3607;&#3640;&#3609;%20&#3611;&#3637;%2061-&#3649;&#3585;&#3657;%20%20&#3626;&#3623;&#3624;.%20&#3649;&#3621;&#3632;&#3611;&#3619;&#3633;&#3610;&#3588;&#3656;&#3634;&#3606;&#3656;&#3623;&#3591;%20&#3609;&#3609;.&#3626;&#3621;&#3585;.12%20&#3585;.&#3614;.62/&#3585;&#3609;&#3612;.%20&#3623;&#3636;&#3608;&#3637;&#3588;&#3635;&#3609;&#3623;&#3603;%20&#3588;&#3656;&#3634;&#3606;&#3656;&#3623;&#3591;&#3609;&#3657;&#3635;&#3627;&#3609;&#3633;&#3585;%20&#3605;&#3619;&#3634;&#3619;&#3634;&#3591;&#3607;&#3637;&#3656;%203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ha\Downloads\&#3611;&#3637;%2059%20&#3605;&#3634;&#3619;&#3634;&#3591;&#3605;&#3657;&#3609;&#3607;&#3640;&#3609;&#3607;&#3637;&#3656;%201-12%20&#3586;&#3657;&#3629;&#3617;&#3641;&#3621;18%20&#3614;.&#3618;.59-&#3652;&#3617;&#3656;&#3649;&#3618;&#3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b1ข้อมูลดิบ"/>
      <sheetName val="privot ksb1 สรุปรวม"/>
      <sheetName val="KSB1 คำนวณต้นทุน ทำตาราง2"/>
      <sheetName val="KSB1 คำนวณต้นทุน ทำตาราง1"/>
      <sheetName val="KSB1 ไม่คำนวนต้นทุน"/>
      <sheetName val="คำนวนต้นทุน"/>
      <sheetName val="ไม่คำนวนต้นทุน"/>
      <sheetName val="ksb1 สรุปรวมข้อมูลดิบ"/>
    </sheetNames>
    <sheetDataSet>
      <sheetData sheetId="0"/>
      <sheetData sheetId="1"/>
      <sheetData sheetId="2">
        <row r="21">
          <cell r="AP21">
            <v>344771299.19</v>
          </cell>
        </row>
        <row r="118">
          <cell r="AP118">
            <v>135254387.55000001</v>
          </cell>
        </row>
        <row r="137">
          <cell r="AP137">
            <v>48869143.239999995</v>
          </cell>
        </row>
        <row r="162">
          <cell r="AP162">
            <v>2106303.4500000002</v>
          </cell>
        </row>
        <row r="177">
          <cell r="AP177">
            <v>9400309.9000000004</v>
          </cell>
        </row>
        <row r="190">
          <cell r="AP190">
            <v>22713855.590000004</v>
          </cell>
        </row>
        <row r="194">
          <cell r="AP194">
            <v>0</v>
          </cell>
        </row>
        <row r="312">
          <cell r="AP312">
            <v>41401241.25999999</v>
          </cell>
        </row>
        <row r="348">
          <cell r="AP348">
            <v>8364274.5600000015</v>
          </cell>
        </row>
        <row r="365">
          <cell r="AP365">
            <v>13963758.780000012</v>
          </cell>
        </row>
        <row r="369">
          <cell r="AP369">
            <v>1890332.0000000002</v>
          </cell>
        </row>
        <row r="373">
          <cell r="AP373">
            <v>2472250.0000000005</v>
          </cell>
        </row>
        <row r="381">
          <cell r="AP381">
            <v>5757015.4799999995</v>
          </cell>
        </row>
        <row r="385">
          <cell r="AP385">
            <v>25290575.490000006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. 1ข้อมูลจากโปรแกรม ปี 57 "/>
      <sheetName val="ต.2กระจาย ต.1 สู่ ต.2-ปี57"/>
      <sheetName val="ต.3 จาก ต.2-จายค่าเส-ปี57"/>
      <sheetName val="ต.3 ข้อมูลจาก ต.2-วางค่า ปี 57"/>
      <sheetName val="หน่วยงานแจ้งแก้ไขข้อมูล ต.3"/>
      <sheetName val="ต. 4-จาก ต.5-ปี 57"/>
      <sheetName val="ต.5 ถั่ว-สนับสนุนให้กิจกรรมหลัก"/>
      <sheetName val="ต. 6 ผลผลิตหลัก-จาก ต.4"/>
      <sheetName val="ต.7เทียบ-57-56-กิจกรรมย่อย จ ต "/>
      <sheetName val="ตารางที่ 7-วิเคราะห์-ปี57"/>
      <sheetName val="ต.8กิจกรรมหลัก จาก ต.4-57"/>
      <sheetName val="ตารางที่ 8-วิเคราะห์-57"/>
      <sheetName val="ตารางที่ 9ผลผลิตย่อย-จาก ต.5-57"/>
      <sheetName val="ตารางที่ 9-วิเคราะห์-57"/>
      <sheetName val="ตารางที่ 10 ผลผลิต-จาก ต.6-57"/>
      <sheetName val="ตารางที่ 10-วิเคราะห์-57"/>
      <sheetName val="ตารางที่ 11-จาก ต.2-57"/>
      <sheetName val="ตารางที่ 11-วิเคราะห์-57"/>
      <sheetName val="ตารางที่ 12-57"/>
      <sheetName val="ตารางที่ 12 แยก-57"/>
      <sheetName val="ตารางที่ 12-วิเคราะห์-57"/>
      <sheetName val="ตามงาน- ต.วิเคราะห์-57"/>
    </sheetNames>
    <sheetDataSet>
      <sheetData sheetId="0" refreshError="1"/>
      <sheetData sheetId="1" refreshError="1">
        <row r="28">
          <cell r="K28">
            <v>52980795.31000001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I5">
            <v>13300769.449999999</v>
          </cell>
        </row>
      </sheetData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.3 ถ่วง นน. กนผ."/>
      <sheetName val="ตารางที่3 จาก ต.2-สูตร-ปี61ไม่"/>
      <sheetName val="ต.3 ถ่วง นน.  สลก. ปี61-กิจกรรม"/>
    </sheetNames>
    <sheetDataSet>
      <sheetData sheetId="0"/>
      <sheetData sheetId="1">
        <row r="5">
          <cell r="F5">
            <v>54765720.199769385</v>
          </cell>
        </row>
        <row r="17">
          <cell r="F17">
            <v>2569165.2902991455</v>
          </cell>
        </row>
        <row r="26">
          <cell r="F26">
            <v>72613533.274700865</v>
          </cell>
        </row>
        <row r="41">
          <cell r="F41">
            <v>116733150.32744965</v>
          </cell>
        </row>
        <row r="50">
          <cell r="F50">
            <v>8012452.9218841176</v>
          </cell>
        </row>
        <row r="51">
          <cell r="F51">
            <v>8972565.8151098862</v>
          </cell>
        </row>
        <row r="52">
          <cell r="F52">
            <v>1512695.8533557083</v>
          </cell>
        </row>
        <row r="55">
          <cell r="F55">
            <v>52021390.727094024</v>
          </cell>
        </row>
        <row r="60">
          <cell r="I60">
            <v>1</v>
          </cell>
          <cell r="J60" t="str">
            <v>เรื่อง</v>
          </cell>
        </row>
        <row r="61">
          <cell r="I61">
            <v>1</v>
          </cell>
          <cell r="J61" t="str">
            <v>เรื่อง</v>
          </cell>
        </row>
        <row r="62">
          <cell r="I62">
            <v>1</v>
          </cell>
          <cell r="J62" t="str">
            <v>เรื่อง</v>
          </cell>
        </row>
        <row r="63">
          <cell r="F63">
            <v>250066872.52029914</v>
          </cell>
        </row>
        <row r="68">
          <cell r="F68">
            <v>97954807.663096219</v>
          </cell>
        </row>
        <row r="69">
          <cell r="C69">
            <v>12596077.759546073</v>
          </cell>
          <cell r="D69">
            <v>2372748.5134950774</v>
          </cell>
          <cell r="E69">
            <v>1150319.2917721518</v>
          </cell>
          <cell r="F69">
            <v>16119145.564813303</v>
          </cell>
        </row>
        <row r="70">
          <cell r="C70">
            <v>6298038.8797730366</v>
          </cell>
          <cell r="D70">
            <v>1186374.2567475387</v>
          </cell>
          <cell r="E70">
            <v>575159.64588607592</v>
          </cell>
          <cell r="F70">
            <v>8059572.7824066514</v>
          </cell>
        </row>
        <row r="71">
          <cell r="C71">
            <v>3391251.7044931734</v>
          </cell>
          <cell r="D71">
            <v>638816.90747944394</v>
          </cell>
          <cell r="E71">
            <v>309701.34778481012</v>
          </cell>
          <cell r="F71">
            <v>4339769.9597574277</v>
          </cell>
        </row>
        <row r="72">
          <cell r="C72">
            <v>5329109.8213464152</v>
          </cell>
          <cell r="D72">
            <v>1003855.1403248406</v>
          </cell>
          <cell r="E72">
            <v>486673.54651898734</v>
          </cell>
          <cell r="F72">
            <v>6819638.5081902426</v>
          </cell>
        </row>
        <row r="73">
          <cell r="C73">
            <v>3875716.2337064845</v>
          </cell>
          <cell r="D73">
            <v>730076.46569079312</v>
          </cell>
          <cell r="E73">
            <v>353944.39746835449</v>
          </cell>
          <cell r="F73">
            <v>4959737.0968656326</v>
          </cell>
        </row>
        <row r="74">
          <cell r="C74">
            <v>5813574.3505597254</v>
          </cell>
          <cell r="D74">
            <v>1095114.6985361897</v>
          </cell>
          <cell r="E74">
            <v>530916.59620253171</v>
          </cell>
          <cell r="F74">
            <v>7439605.6452984475</v>
          </cell>
        </row>
        <row r="75">
          <cell r="C75">
            <v>2422322.6460665525</v>
          </cell>
          <cell r="D75">
            <v>456297.79105674574</v>
          </cell>
          <cell r="E75">
            <v>221215.24841772154</v>
          </cell>
          <cell r="F75">
            <v>3099835.6855410198</v>
          </cell>
        </row>
        <row r="76">
          <cell r="C76">
            <v>4360180.7629197948</v>
          </cell>
          <cell r="D76">
            <v>821336.0239021423</v>
          </cell>
          <cell r="E76">
            <v>398187.44715189876</v>
          </cell>
          <cell r="F76">
            <v>5579704.2339738356</v>
          </cell>
        </row>
        <row r="77">
          <cell r="C77">
            <v>6782503.4089863468</v>
          </cell>
          <cell r="D77">
            <v>1277633.8149588879</v>
          </cell>
          <cell r="E77">
            <v>619402.69556962023</v>
          </cell>
          <cell r="F77">
            <v>8679539.9195148554</v>
          </cell>
        </row>
        <row r="78">
          <cell r="C78">
            <v>1695625.8522465867</v>
          </cell>
          <cell r="D78">
            <v>319408.45373972197</v>
          </cell>
          <cell r="E78">
            <v>154850.67389240506</v>
          </cell>
          <cell r="F78">
            <v>2169884.9798787138</v>
          </cell>
        </row>
        <row r="79">
          <cell r="C79">
            <v>9689290.58426621</v>
          </cell>
          <cell r="D79">
            <v>1825191.164226983</v>
          </cell>
          <cell r="E79">
            <v>884860.99367088615</v>
          </cell>
          <cell r="F79">
            <v>12399342.742164079</v>
          </cell>
        </row>
        <row r="80">
          <cell r="C80">
            <v>1211161.3230332762</v>
          </cell>
          <cell r="D80">
            <v>228148.89552837287</v>
          </cell>
          <cell r="E80">
            <v>110607.62420886077</v>
          </cell>
          <cell r="F80">
            <v>1549917.8427705099</v>
          </cell>
        </row>
        <row r="81">
          <cell r="C81">
            <v>9689290.58426621</v>
          </cell>
          <cell r="D81">
            <v>1825191.164226983</v>
          </cell>
          <cell r="E81">
            <v>884860.99367088615</v>
          </cell>
          <cell r="F81">
            <v>12399342.742164079</v>
          </cell>
        </row>
        <row r="82">
          <cell r="C82">
            <v>3391251.7044931734</v>
          </cell>
          <cell r="D82">
            <v>638816.90747944394</v>
          </cell>
          <cell r="E82">
            <v>309701.34778481012</v>
          </cell>
          <cell r="F82">
            <v>4339769.9597574277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ตารางที่ 1ข้อมูลจากPro-ปี59 "/>
      <sheetName val="ต.2 pivot-59-GL-ต้นทุน วาง ปป."/>
      <sheetName val="ต.2=กระจาย ต.1สู่ ต.2-ปี59"/>
      <sheetName val="ตารางที่3 จาก ต.2-สูตร-ปี59"/>
      <sheetName val="ข้อมูล ต.3-708,709ไปสนับสนุน59"/>
      <sheetName val="ต.ที่ 4-จาก ต.5-59-กิจกรรมหลัก"/>
      <sheetName val="ปัน ก.สนับ ให้ ก.หลัก- ต.5"/>
      <sheetName val="ต.5 ถั่ว-สนับสนุนให้ กก หลัก-59"/>
      <sheetName val="ต. 6 ผลผลิตหลัก-จาก ต.4-59"/>
      <sheetName val="ต.7เทียบ-59-58-กก.ย่อย จาก ต.3 "/>
      <sheetName val="ต. 7-วิเคราะห์-ปี59-"/>
      <sheetName val="ต. 8กิจกรรมหลัก ต.4-59"/>
      <sheetName val="ตารางที่ 8-วิเคราะห์-ปี59"/>
      <sheetName val="ต. 9ผลผลิตย่อย-จาก ต.5-59"/>
      <sheetName val="ตารางที่ 9-วิเคราะห์-ปี59"/>
      <sheetName val="ต. 10 ผลผลิต-จาก ต.6-59"/>
      <sheetName val="ตารางที่ 10-วิเคราะห์-59"/>
      <sheetName val="ตารางที่ 11-ปี 59 จาก ต.2"/>
      <sheetName val="ตารางที่ 11-วิเคราะห์-ปี59"/>
      <sheetName val="ตารางที่ 12-ปี59"/>
      <sheetName val="ตารางที่ 12 แยก ปี 59"/>
      <sheetName val="ตารางที่ 12-วิเคราะห์-ปี5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8">
          <cell r="V18">
            <v>589429591.48999989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8A81-E858-4F59-9F63-B8598B84D6B9}">
  <dimension ref="A1:I49"/>
  <sheetViews>
    <sheetView workbookViewId="0">
      <selection activeCell="K11" sqref="K11"/>
    </sheetView>
  </sheetViews>
  <sheetFormatPr defaultRowHeight="24" x14ac:dyDescent="0.55000000000000004"/>
  <cols>
    <col min="1" max="1" width="6.7109375" style="1605" customWidth="1"/>
    <col min="2" max="2" width="9.140625" style="1604"/>
    <col min="3" max="3" width="9.140625" style="1604" bestFit="1" customWidth="1"/>
    <col min="4" max="4" width="14.140625" style="1604" bestFit="1" customWidth="1"/>
    <col min="5" max="7" width="9.140625" style="1604"/>
    <col min="8" max="8" width="15.28515625" style="1606" bestFit="1" customWidth="1"/>
    <col min="9" max="16384" width="9.140625" style="1604"/>
  </cols>
  <sheetData>
    <row r="1" spans="1:9" ht="27.75" x14ac:dyDescent="0.65">
      <c r="A1" s="1603" t="s">
        <v>589</v>
      </c>
      <c r="B1" s="1603"/>
      <c r="C1" s="1603"/>
      <c r="D1" s="1603"/>
      <c r="E1" s="1603"/>
      <c r="F1" s="1603"/>
      <c r="G1" s="1603"/>
      <c r="H1" s="1603"/>
      <c r="I1" s="1603"/>
    </row>
    <row r="2" spans="1:9" x14ac:dyDescent="0.55000000000000004">
      <c r="A2" s="1605">
        <v>1</v>
      </c>
      <c r="B2" s="1604" t="s">
        <v>590</v>
      </c>
    </row>
    <row r="3" spans="1:9" x14ac:dyDescent="0.55000000000000004">
      <c r="C3" s="1604" t="s">
        <v>591</v>
      </c>
      <c r="D3" s="1607" t="s">
        <v>592</v>
      </c>
      <c r="E3" s="1605" t="s">
        <v>593</v>
      </c>
      <c r="F3" s="1604">
        <v>3.5</v>
      </c>
      <c r="G3" s="1604" t="s">
        <v>594</v>
      </c>
      <c r="H3" s="1606">
        <f>+$H$7*F3/$F$7</f>
        <v>945166</v>
      </c>
    </row>
    <row r="4" spans="1:9" x14ac:dyDescent="0.55000000000000004">
      <c r="C4" s="1604" t="s">
        <v>595</v>
      </c>
      <c r="D4" s="1607" t="s">
        <v>596</v>
      </c>
      <c r="E4" s="1605" t="s">
        <v>593</v>
      </c>
      <c r="F4" s="1604">
        <v>1.5</v>
      </c>
      <c r="G4" s="1604" t="s">
        <v>594</v>
      </c>
      <c r="H4" s="1606">
        <f t="shared" ref="H4:H6" si="0">+$H$7*F4/$F$7</f>
        <v>405071.14285714284</v>
      </c>
    </row>
    <row r="5" spans="1:9" x14ac:dyDescent="0.55000000000000004">
      <c r="C5" s="1604" t="s">
        <v>597</v>
      </c>
      <c r="D5" s="1607" t="s">
        <v>598</v>
      </c>
      <c r="E5" s="1605" t="s">
        <v>593</v>
      </c>
      <c r="F5" s="1604">
        <v>1.5</v>
      </c>
      <c r="G5" s="1604" t="s">
        <v>594</v>
      </c>
      <c r="H5" s="1606">
        <f t="shared" si="0"/>
        <v>405071.14285714284</v>
      </c>
    </row>
    <row r="6" spans="1:9" x14ac:dyDescent="0.55000000000000004">
      <c r="C6" s="1604" t="s">
        <v>599</v>
      </c>
      <c r="D6" s="1607" t="s">
        <v>600</v>
      </c>
      <c r="E6" s="1605" t="s">
        <v>593</v>
      </c>
      <c r="F6" s="1604">
        <v>0.5</v>
      </c>
      <c r="G6" s="1604" t="s">
        <v>594</v>
      </c>
      <c r="H6" s="1606">
        <f t="shared" si="0"/>
        <v>135023.71428571429</v>
      </c>
    </row>
    <row r="7" spans="1:9" ht="24.75" thickBot="1" x14ac:dyDescent="0.6">
      <c r="F7" s="1608">
        <f>SUM(F3:F6)</f>
        <v>7</v>
      </c>
      <c r="G7" s="1604" t="s">
        <v>594</v>
      </c>
      <c r="H7" s="1609">
        <v>1890332</v>
      </c>
    </row>
    <row r="8" spans="1:9" ht="24.75" thickTop="1" x14ac:dyDescent="0.55000000000000004">
      <c r="A8" s="1605">
        <v>2</v>
      </c>
      <c r="B8" s="1604" t="s">
        <v>601</v>
      </c>
    </row>
    <row r="9" spans="1:9" x14ac:dyDescent="0.55000000000000004">
      <c r="C9" s="1604" t="s">
        <v>591</v>
      </c>
      <c r="D9" s="1607" t="s">
        <v>592</v>
      </c>
      <c r="E9" s="1605" t="s">
        <v>593</v>
      </c>
      <c r="F9" s="1604">
        <v>3.5</v>
      </c>
      <c r="G9" s="1604" t="s">
        <v>594</v>
      </c>
      <c r="H9" s="1606">
        <f>+$H$13*F9/$F$13</f>
        <v>1236125</v>
      </c>
    </row>
    <row r="10" spans="1:9" x14ac:dyDescent="0.55000000000000004">
      <c r="C10" s="1604" t="s">
        <v>595</v>
      </c>
      <c r="D10" s="1607" t="s">
        <v>596</v>
      </c>
      <c r="E10" s="1605" t="s">
        <v>593</v>
      </c>
      <c r="F10" s="1604">
        <v>1.5</v>
      </c>
      <c r="G10" s="1604" t="s">
        <v>594</v>
      </c>
      <c r="H10" s="1606">
        <f t="shared" ref="H10:H12" si="1">+$H$13*F10/$F$13</f>
        <v>529767.85714285716</v>
      </c>
    </row>
    <row r="11" spans="1:9" x14ac:dyDescent="0.55000000000000004">
      <c r="C11" s="1604" t="s">
        <v>597</v>
      </c>
      <c r="D11" s="1607" t="s">
        <v>598</v>
      </c>
      <c r="E11" s="1605" t="s">
        <v>593</v>
      </c>
      <c r="F11" s="1604">
        <v>1.5</v>
      </c>
      <c r="G11" s="1604" t="s">
        <v>594</v>
      </c>
      <c r="H11" s="1606">
        <f t="shared" si="1"/>
        <v>529767.85714285716</v>
      </c>
    </row>
    <row r="12" spans="1:9" x14ac:dyDescent="0.55000000000000004">
      <c r="C12" s="1604" t="s">
        <v>599</v>
      </c>
      <c r="D12" s="1607" t="s">
        <v>600</v>
      </c>
      <c r="E12" s="1605" t="s">
        <v>593</v>
      </c>
      <c r="F12" s="1604">
        <v>0.5</v>
      </c>
      <c r="G12" s="1604" t="s">
        <v>594</v>
      </c>
      <c r="H12" s="1606">
        <f t="shared" si="1"/>
        <v>176589.28571428571</v>
      </c>
    </row>
    <row r="13" spans="1:9" ht="24.75" thickBot="1" x14ac:dyDescent="0.6">
      <c r="F13" s="1608">
        <f>SUM(F9:F12)</f>
        <v>7</v>
      </c>
      <c r="G13" s="1604" t="s">
        <v>594</v>
      </c>
      <c r="H13" s="1609">
        <v>2472250</v>
      </c>
    </row>
    <row r="14" spans="1:9" ht="24.75" thickTop="1" x14ac:dyDescent="0.55000000000000004">
      <c r="A14" s="1605">
        <v>3</v>
      </c>
      <c r="B14" s="1604" t="s">
        <v>602</v>
      </c>
    </row>
    <row r="15" spans="1:9" x14ac:dyDescent="0.55000000000000004">
      <c r="C15" s="1604" t="s">
        <v>93</v>
      </c>
      <c r="D15" s="1607" t="s">
        <v>603</v>
      </c>
      <c r="E15" s="1605" t="s">
        <v>593</v>
      </c>
      <c r="F15" s="1604">
        <v>3</v>
      </c>
      <c r="G15" s="1604" t="s">
        <v>594</v>
      </c>
      <c r="H15" s="1606">
        <f>+$H$17*F15/$F$17</f>
        <v>538438.96499999997</v>
      </c>
    </row>
    <row r="16" spans="1:9" x14ac:dyDescent="0.55000000000000004">
      <c r="C16" s="1604" t="s">
        <v>92</v>
      </c>
      <c r="D16" s="1607" t="s">
        <v>596</v>
      </c>
      <c r="E16" s="1605" t="s">
        <v>593</v>
      </c>
      <c r="F16" s="1604">
        <v>1</v>
      </c>
      <c r="G16" s="1604" t="s">
        <v>594</v>
      </c>
      <c r="H16" s="1606">
        <f>+$H$17*F16/$F$17</f>
        <v>179479.655</v>
      </c>
    </row>
    <row r="17" spans="1:8" ht="24.75" thickBot="1" x14ac:dyDescent="0.6">
      <c r="F17" s="1608">
        <f>SUM(F15:F16)</f>
        <v>4</v>
      </c>
      <c r="G17" s="1604" t="s">
        <v>594</v>
      </c>
      <c r="H17" s="1609">
        <v>717918.62</v>
      </c>
    </row>
    <row r="18" spans="1:8" ht="24.75" thickTop="1" x14ac:dyDescent="0.55000000000000004">
      <c r="A18" s="1605">
        <v>4</v>
      </c>
      <c r="B18" s="1604" t="s">
        <v>604</v>
      </c>
    </row>
    <row r="19" spans="1:8" x14ac:dyDescent="0.55000000000000004">
      <c r="C19" s="1604" t="s">
        <v>89</v>
      </c>
      <c r="D19" s="1607" t="s">
        <v>592</v>
      </c>
      <c r="E19" s="1605" t="s">
        <v>593</v>
      </c>
      <c r="F19" s="1604">
        <v>6</v>
      </c>
      <c r="G19" s="1604" t="s">
        <v>594</v>
      </c>
      <c r="H19" s="1606">
        <f>+$H$24*F19/$F$24</f>
        <v>2955565.6680000001</v>
      </c>
    </row>
    <row r="20" spans="1:8" x14ac:dyDescent="0.55000000000000004">
      <c r="C20" s="1604" t="s">
        <v>92</v>
      </c>
      <c r="D20" s="1607" t="s">
        <v>596</v>
      </c>
      <c r="E20" s="1605" t="s">
        <v>593</v>
      </c>
      <c r="F20" s="1604">
        <v>1.5</v>
      </c>
      <c r="G20" s="1604" t="s">
        <v>594</v>
      </c>
      <c r="H20" s="1606">
        <f t="shared" ref="H20:H23" si="2">+$H$24*F20/$F$24</f>
        <v>738891.41700000002</v>
      </c>
    </row>
    <row r="21" spans="1:8" x14ac:dyDescent="0.55000000000000004">
      <c r="C21" s="1604" t="s">
        <v>239</v>
      </c>
      <c r="D21" s="1607" t="s">
        <v>598</v>
      </c>
      <c r="E21" s="1605" t="s">
        <v>593</v>
      </c>
      <c r="F21" s="1604">
        <v>1.5</v>
      </c>
      <c r="G21" s="1604" t="s">
        <v>594</v>
      </c>
      <c r="H21" s="1606">
        <f t="shared" si="2"/>
        <v>738891.41700000002</v>
      </c>
    </row>
    <row r="22" spans="1:8" x14ac:dyDescent="0.55000000000000004">
      <c r="C22" s="1604" t="s">
        <v>240</v>
      </c>
      <c r="D22" s="1607" t="s">
        <v>600</v>
      </c>
      <c r="E22" s="1605" t="s">
        <v>593</v>
      </c>
      <c r="F22" s="1604">
        <v>0.5</v>
      </c>
      <c r="G22" s="1604" t="s">
        <v>594</v>
      </c>
      <c r="H22" s="1606">
        <f t="shared" si="2"/>
        <v>246297.13900000002</v>
      </c>
    </row>
    <row r="23" spans="1:8" x14ac:dyDescent="0.55000000000000004">
      <c r="C23" s="1604" t="s">
        <v>137</v>
      </c>
      <c r="D23" s="1607" t="s">
        <v>605</v>
      </c>
      <c r="E23" s="1605" t="s">
        <v>593</v>
      </c>
      <c r="F23" s="1604">
        <v>0.5</v>
      </c>
      <c r="G23" s="1604" t="s">
        <v>594</v>
      </c>
      <c r="H23" s="1606">
        <f t="shared" si="2"/>
        <v>246297.13900000002</v>
      </c>
    </row>
    <row r="24" spans="1:8" ht="24.75" thickBot="1" x14ac:dyDescent="0.6">
      <c r="F24" s="1608">
        <f>SUM(F19:F23)</f>
        <v>10</v>
      </c>
      <c r="G24" s="1604" t="s">
        <v>594</v>
      </c>
      <c r="H24" s="1609">
        <v>4925942.78</v>
      </c>
    </row>
    <row r="25" spans="1:8" ht="24.75" thickTop="1" x14ac:dyDescent="0.55000000000000004">
      <c r="A25" s="1605">
        <v>5</v>
      </c>
      <c r="B25" s="1604" t="s">
        <v>606</v>
      </c>
    </row>
    <row r="26" spans="1:8" x14ac:dyDescent="0.55000000000000004">
      <c r="C26" s="1604" t="s">
        <v>607</v>
      </c>
      <c r="D26" s="1607" t="s">
        <v>608</v>
      </c>
      <c r="E26" s="1605"/>
      <c r="F26" s="1604">
        <v>8</v>
      </c>
      <c r="G26" s="1604" t="s">
        <v>414</v>
      </c>
      <c r="H26" s="1606">
        <f>+F26*H32/F32</f>
        <v>2319.6140634005765</v>
      </c>
    </row>
    <row r="27" spans="1:8" x14ac:dyDescent="0.55000000000000004">
      <c r="C27" s="1604" t="s">
        <v>299</v>
      </c>
      <c r="D27" s="1607" t="s">
        <v>609</v>
      </c>
      <c r="E27" s="1605"/>
      <c r="F27" s="1604">
        <v>5</v>
      </c>
      <c r="G27" s="1604" t="s">
        <v>414</v>
      </c>
      <c r="H27" s="1606">
        <f>+F27*H32/F32</f>
        <v>1449.7587896253601</v>
      </c>
    </row>
    <row r="28" spans="1:8" x14ac:dyDescent="0.55000000000000004">
      <c r="C28" s="1604" t="s">
        <v>89</v>
      </c>
      <c r="D28" s="1607" t="s">
        <v>592</v>
      </c>
      <c r="E28" s="1605"/>
      <c r="F28" s="1604">
        <v>138</v>
      </c>
      <c r="G28" s="1604" t="s">
        <v>414</v>
      </c>
      <c r="H28" s="1606">
        <f>+F28*H32/F32</f>
        <v>40013.342593659938</v>
      </c>
    </row>
    <row r="29" spans="1:8" x14ac:dyDescent="0.55000000000000004">
      <c r="C29" s="1604" t="s">
        <v>92</v>
      </c>
      <c r="D29" s="1607" t="s">
        <v>596</v>
      </c>
      <c r="E29" s="1605"/>
      <c r="F29" s="1604">
        <v>53</v>
      </c>
      <c r="G29" s="1604" t="s">
        <v>414</v>
      </c>
      <c r="H29" s="1606">
        <f>+F29*H32/F32</f>
        <v>15367.443170028817</v>
      </c>
    </row>
    <row r="30" spans="1:8" x14ac:dyDescent="0.55000000000000004">
      <c r="C30" s="1604" t="s">
        <v>239</v>
      </c>
      <c r="D30" s="1607" t="s">
        <v>598</v>
      </c>
      <c r="E30" s="1605"/>
      <c r="F30" s="1604">
        <v>92</v>
      </c>
      <c r="G30" s="1604" t="s">
        <v>414</v>
      </c>
      <c r="H30" s="1606">
        <f>+F30*H32/F32</f>
        <v>26675.561729106626</v>
      </c>
    </row>
    <row r="31" spans="1:8" x14ac:dyDescent="0.55000000000000004">
      <c r="C31" s="1604" t="s">
        <v>240</v>
      </c>
      <c r="D31" s="1607" t="s">
        <v>600</v>
      </c>
      <c r="E31" s="1605"/>
      <c r="F31" s="1604">
        <v>51</v>
      </c>
      <c r="G31" s="1604" t="s">
        <v>414</v>
      </c>
      <c r="H31" s="1606">
        <f>+F31*H32/F32</f>
        <v>14787.539654178674</v>
      </c>
    </row>
    <row r="32" spans="1:8" ht="24.75" thickBot="1" x14ac:dyDescent="0.6">
      <c r="F32" s="1608">
        <f>SUM(F26:F31)</f>
        <v>347</v>
      </c>
      <c r="G32" s="1604" t="s">
        <v>414</v>
      </c>
      <c r="H32" s="1609">
        <v>100613.26</v>
      </c>
    </row>
    <row r="33" spans="1:8" ht="24.75" thickTop="1" x14ac:dyDescent="0.55000000000000004">
      <c r="A33" s="1605">
        <v>6</v>
      </c>
      <c r="B33" s="1604" t="s">
        <v>610</v>
      </c>
    </row>
    <row r="34" spans="1:8" x14ac:dyDescent="0.55000000000000004">
      <c r="C34" s="1604" t="s">
        <v>89</v>
      </c>
      <c r="D34" s="1607" t="s">
        <v>592</v>
      </c>
      <c r="E34" s="1605" t="s">
        <v>593</v>
      </c>
      <c r="F34" s="1604">
        <v>19</v>
      </c>
      <c r="G34" s="1604" t="s">
        <v>414</v>
      </c>
      <c r="H34" s="1606">
        <f>+$H$36*F34/$F$36</f>
        <v>6109.6302564102562</v>
      </c>
    </row>
    <row r="35" spans="1:8" x14ac:dyDescent="0.55000000000000004">
      <c r="C35" s="1604" t="s">
        <v>137</v>
      </c>
      <c r="D35" s="1607" t="s">
        <v>605</v>
      </c>
      <c r="E35" s="1605" t="s">
        <v>593</v>
      </c>
      <c r="F35" s="1604">
        <v>20</v>
      </c>
      <c r="G35" s="1604" t="s">
        <v>414</v>
      </c>
      <c r="H35" s="1606">
        <f>+$H$36*F35/$F$36</f>
        <v>6431.1897435897436</v>
      </c>
    </row>
    <row r="36" spans="1:8" ht="24.75" thickBot="1" x14ac:dyDescent="0.6">
      <c r="F36" s="1608">
        <f>SUM(F34:F35)</f>
        <v>39</v>
      </c>
      <c r="G36" s="1604" t="s">
        <v>414</v>
      </c>
      <c r="H36" s="1609">
        <v>12540.82</v>
      </c>
    </row>
    <row r="37" spans="1:8" ht="24.75" thickTop="1" x14ac:dyDescent="0.55000000000000004">
      <c r="A37" s="1605">
        <v>7</v>
      </c>
      <c r="B37" s="1604" t="s">
        <v>611</v>
      </c>
    </row>
    <row r="38" spans="1:8" x14ac:dyDescent="0.55000000000000004">
      <c r="C38" s="1604" t="s">
        <v>607</v>
      </c>
      <c r="D38" s="1607" t="s">
        <v>608</v>
      </c>
      <c r="E38" s="1605" t="s">
        <v>593</v>
      </c>
      <c r="F38" s="1610">
        <v>5</v>
      </c>
      <c r="G38" s="1604" t="s">
        <v>414</v>
      </c>
      <c r="H38" s="1606">
        <f>+$H$48*F38/$F$48</f>
        <v>180132.3040598291</v>
      </c>
    </row>
    <row r="39" spans="1:8" x14ac:dyDescent="0.55000000000000004">
      <c r="C39" s="1604" t="s">
        <v>299</v>
      </c>
      <c r="D39" s="1607" t="s">
        <v>609</v>
      </c>
      <c r="E39" s="1605" t="s">
        <v>593</v>
      </c>
      <c r="F39" s="1610">
        <v>3</v>
      </c>
      <c r="G39" s="1604" t="s">
        <v>414</v>
      </c>
      <c r="H39" s="1606">
        <f t="shared" ref="H39:H47" si="3">+$H$48*F39/$F$48</f>
        <v>108079.38243589745</v>
      </c>
    </row>
    <row r="40" spans="1:8" x14ac:dyDescent="0.55000000000000004">
      <c r="C40" s="1604" t="s">
        <v>89</v>
      </c>
      <c r="D40" s="1607" t="s">
        <v>592</v>
      </c>
      <c r="E40" s="1605" t="s">
        <v>593</v>
      </c>
      <c r="F40" s="1610">
        <v>75</v>
      </c>
      <c r="G40" s="1604" t="s">
        <v>414</v>
      </c>
      <c r="H40" s="1606">
        <f t="shared" si="3"/>
        <v>2701984.5608974365</v>
      </c>
    </row>
    <row r="41" spans="1:8" x14ac:dyDescent="0.55000000000000004">
      <c r="C41" s="1604" t="s">
        <v>93</v>
      </c>
      <c r="D41" s="1607" t="s">
        <v>603</v>
      </c>
      <c r="E41" s="1605" t="s">
        <v>593</v>
      </c>
      <c r="F41" s="1610">
        <v>58</v>
      </c>
      <c r="G41" s="1604" t="s">
        <v>414</v>
      </c>
      <c r="H41" s="1606">
        <f t="shared" si="3"/>
        <v>2089534.7270940174</v>
      </c>
    </row>
    <row r="42" spans="1:8" x14ac:dyDescent="0.55000000000000004">
      <c r="C42" s="1604" t="s">
        <v>92</v>
      </c>
      <c r="D42" s="1607" t="s">
        <v>596</v>
      </c>
      <c r="E42" s="1605" t="s">
        <v>593</v>
      </c>
      <c r="F42" s="1610">
        <v>95</v>
      </c>
      <c r="G42" s="1604" t="s">
        <v>414</v>
      </c>
      <c r="H42" s="1606">
        <f t="shared" si="3"/>
        <v>3422513.7771367533</v>
      </c>
    </row>
    <row r="43" spans="1:8" x14ac:dyDescent="0.55000000000000004">
      <c r="C43" s="1604" t="s">
        <v>239</v>
      </c>
      <c r="D43" s="1607" t="s">
        <v>598</v>
      </c>
      <c r="E43" s="1605" t="s">
        <v>593</v>
      </c>
      <c r="F43" s="1610">
        <v>75</v>
      </c>
      <c r="G43" s="1604" t="s">
        <v>414</v>
      </c>
      <c r="H43" s="1606">
        <f t="shared" si="3"/>
        <v>2701984.5608974365</v>
      </c>
    </row>
    <row r="44" spans="1:8" x14ac:dyDescent="0.55000000000000004">
      <c r="C44" s="1604" t="s">
        <v>91</v>
      </c>
      <c r="D44" s="1607" t="s">
        <v>600</v>
      </c>
      <c r="E44" s="1605" t="s">
        <v>593</v>
      </c>
      <c r="F44" s="1610">
        <v>92</v>
      </c>
      <c r="G44" s="1604" t="s">
        <v>414</v>
      </c>
      <c r="H44" s="1606">
        <f t="shared" si="3"/>
        <v>3314434.3947008555</v>
      </c>
    </row>
    <row r="45" spans="1:8" x14ac:dyDescent="0.55000000000000004">
      <c r="C45" s="1604" t="s">
        <v>240</v>
      </c>
      <c r="D45" s="1607" t="s">
        <v>612</v>
      </c>
      <c r="E45" s="1605" t="s">
        <v>593</v>
      </c>
      <c r="F45" s="1610">
        <v>27</v>
      </c>
      <c r="G45" s="1604" t="s">
        <v>414</v>
      </c>
      <c r="H45" s="1606">
        <f t="shared" si="3"/>
        <v>972714.4419230771</v>
      </c>
    </row>
    <row r="46" spans="1:8" x14ac:dyDescent="0.55000000000000004">
      <c r="C46" s="1604" t="s">
        <v>137</v>
      </c>
      <c r="D46" s="1607" t="s">
        <v>605</v>
      </c>
      <c r="E46" s="1605" t="s">
        <v>593</v>
      </c>
      <c r="F46" s="1610">
        <v>13</v>
      </c>
      <c r="G46" s="1604" t="s">
        <v>414</v>
      </c>
      <c r="H46" s="1606">
        <f t="shared" si="3"/>
        <v>468343.99055555568</v>
      </c>
    </row>
    <row r="47" spans="1:8" x14ac:dyDescent="0.55000000000000004">
      <c r="C47" s="1604" t="s">
        <v>253</v>
      </c>
      <c r="D47" s="1607"/>
      <c r="E47" s="1605" t="s">
        <v>593</v>
      </c>
      <c r="F47" s="1610">
        <v>259</v>
      </c>
      <c r="G47" s="1604" t="s">
        <v>414</v>
      </c>
      <c r="H47" s="1606">
        <f t="shared" si="3"/>
        <v>9330853.3502991479</v>
      </c>
    </row>
    <row r="48" spans="1:8" ht="24.75" thickBot="1" x14ac:dyDescent="0.6">
      <c r="F48" s="1608">
        <f>SUM(F38:F47)</f>
        <v>702</v>
      </c>
      <c r="G48" s="1604" t="s">
        <v>414</v>
      </c>
      <c r="H48" s="1609">
        <v>25290575.490000006</v>
      </c>
    </row>
    <row r="49" ht="24.75" thickTop="1" x14ac:dyDescent="0.55000000000000004"/>
  </sheetData>
  <mergeCells count="1">
    <mergeCell ref="A1:I1"/>
  </mergeCells>
  <pageMargins left="0.51181102362204722" right="0.11811023622047245" top="0.35433070866141736" bottom="0.35433070866141736" header="0.31496062992125984" footer="0.31496062992125984"/>
  <pageSetup paperSize="9" scale="67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AD137"/>
  <sheetViews>
    <sheetView view="pageBreakPreview" zoomScale="80" zoomScaleNormal="85" zoomScaleSheetLayoutView="80" workbookViewId="0">
      <pane xSplit="2" ySplit="4" topLeftCell="K80" activePane="bottomRight" state="frozen"/>
      <selection activeCell="E30" sqref="E30"/>
      <selection pane="topRight" activeCell="E30" sqref="E30"/>
      <selection pane="bottomLeft" activeCell="E30" sqref="E30"/>
      <selection pane="bottomRight" activeCell="R6" sqref="R6"/>
    </sheetView>
  </sheetViews>
  <sheetFormatPr defaultRowHeight="21.75" x14ac:dyDescent="0.2"/>
  <cols>
    <col min="1" max="1" width="5.85546875" style="1284" customWidth="1"/>
    <col min="2" max="2" width="23.85546875" style="1179" customWidth="1"/>
    <col min="3" max="4" width="19.5703125" style="1179" hidden="1" customWidth="1"/>
    <col min="5" max="5" width="16.140625" style="1178" customWidth="1"/>
    <col min="6" max="6" width="14.7109375" style="1178" customWidth="1"/>
    <col min="7" max="7" width="15" style="1178" customWidth="1"/>
    <col min="8" max="8" width="16" style="1178" customWidth="1"/>
    <col min="9" max="9" width="9.140625" style="1361" customWidth="1"/>
    <col min="10" max="10" width="12" style="1362" customWidth="1"/>
    <col min="11" max="11" width="15.7109375" style="1373" bestFit="1" customWidth="1"/>
    <col min="12" max="12" width="4.85546875" style="1364" customWidth="1"/>
    <col min="13" max="13" width="22.42578125" style="1365" customWidth="1"/>
    <col min="14" max="14" width="16.42578125" style="1178" customWidth="1"/>
    <col min="15" max="15" width="14.7109375" style="1178" customWidth="1"/>
    <col min="16" max="16" width="15.28515625" style="1178" customWidth="1"/>
    <col min="17" max="17" width="16" style="1178" customWidth="1"/>
    <col min="18" max="18" width="12.7109375" style="1366" customWidth="1"/>
    <col min="19" max="19" width="13" style="1362" customWidth="1"/>
    <col min="20" max="20" width="14.5703125" style="1360" customWidth="1"/>
    <col min="21" max="21" width="6.7109375" style="1178" customWidth="1"/>
    <col min="22" max="22" width="6.42578125" style="1178" customWidth="1"/>
    <col min="23" max="23" width="6.7109375" style="1178" customWidth="1"/>
    <col min="24" max="24" width="13.140625" style="1178" customWidth="1"/>
    <col min="25" max="25" width="10.42578125" style="1178" customWidth="1"/>
    <col min="26" max="26" width="7" style="1178" customWidth="1"/>
    <col min="27" max="27" width="10.5703125" style="1178" bestFit="1" customWidth="1"/>
    <col min="28" max="28" width="46" style="1178" customWidth="1"/>
    <col min="29" max="29" width="9.28515625" style="1178" bestFit="1" customWidth="1"/>
    <col min="30" max="16384" width="9.140625" style="1178"/>
  </cols>
  <sheetData>
    <row r="1" spans="1:30" s="1095" customFormat="1" ht="27.75" x14ac:dyDescent="0.2">
      <c r="A1" s="1522" t="s">
        <v>391</v>
      </c>
      <c r="B1" s="1522"/>
      <c r="C1" s="1522"/>
      <c r="D1" s="1522"/>
      <c r="E1" s="1522"/>
      <c r="F1" s="1522"/>
      <c r="G1" s="1522"/>
      <c r="H1" s="1522"/>
      <c r="I1" s="1522"/>
      <c r="J1" s="1522"/>
      <c r="K1" s="1522"/>
      <c r="L1" s="1522"/>
      <c r="M1" s="1522"/>
      <c r="N1" s="1522"/>
      <c r="O1" s="1522"/>
      <c r="P1" s="1522"/>
      <c r="Q1" s="1522"/>
      <c r="R1" s="1522"/>
      <c r="S1" s="1522"/>
      <c r="T1" s="1522"/>
      <c r="U1" s="1522"/>
      <c r="V1" s="1522"/>
      <c r="W1" s="1522"/>
    </row>
    <row r="2" spans="1:30" s="1098" customFormat="1" ht="22.5" thickBot="1" x14ac:dyDescent="0.25">
      <c r="A2" s="1096" t="s">
        <v>390</v>
      </c>
      <c r="B2" s="1097"/>
      <c r="C2" s="1097"/>
      <c r="D2" s="1097"/>
      <c r="I2" s="1099"/>
      <c r="J2" s="1100"/>
      <c r="K2" s="1101"/>
      <c r="L2" s="1102"/>
      <c r="M2" s="1103"/>
      <c r="R2" s="1104"/>
      <c r="S2" s="1100"/>
      <c r="T2" s="741" t="s">
        <v>192</v>
      </c>
    </row>
    <row r="3" spans="1:30" s="1095" customFormat="1" x14ac:dyDescent="0.2">
      <c r="A3" s="1530" t="s">
        <v>312</v>
      </c>
      <c r="B3" s="1531"/>
      <c r="C3" s="1105"/>
      <c r="D3" s="1105"/>
      <c r="E3" s="1529" t="s">
        <v>326</v>
      </c>
      <c r="F3" s="1527"/>
      <c r="G3" s="1527"/>
      <c r="H3" s="1527"/>
      <c r="I3" s="1527"/>
      <c r="J3" s="1527"/>
      <c r="K3" s="1528"/>
      <c r="L3" s="1523" t="s">
        <v>394</v>
      </c>
      <c r="M3" s="1524"/>
      <c r="N3" s="1527" t="s">
        <v>392</v>
      </c>
      <c r="O3" s="1527"/>
      <c r="P3" s="1527"/>
      <c r="Q3" s="1527"/>
      <c r="R3" s="1527"/>
      <c r="S3" s="1527"/>
      <c r="T3" s="1528"/>
      <c r="U3" s="1529" t="s">
        <v>120</v>
      </c>
      <c r="V3" s="1527"/>
      <c r="W3" s="1528"/>
    </row>
    <row r="4" spans="1:30" s="1095" customFormat="1" ht="131.25" thickBot="1" x14ac:dyDescent="0.25">
      <c r="A4" s="1532"/>
      <c r="B4" s="1533"/>
      <c r="C4" s="1106"/>
      <c r="D4" s="1106"/>
      <c r="E4" s="1107" t="s">
        <v>67</v>
      </c>
      <c r="F4" s="1108" t="s">
        <v>69</v>
      </c>
      <c r="G4" s="1108" t="s">
        <v>77</v>
      </c>
      <c r="H4" s="1108" t="s">
        <v>78</v>
      </c>
      <c r="I4" s="1109" t="s">
        <v>83</v>
      </c>
      <c r="J4" s="1108" t="s">
        <v>81</v>
      </c>
      <c r="K4" s="1110" t="s">
        <v>88</v>
      </c>
      <c r="L4" s="1525"/>
      <c r="M4" s="1526"/>
      <c r="N4" s="1108" t="s">
        <v>67</v>
      </c>
      <c r="O4" s="1108" t="s">
        <v>69</v>
      </c>
      <c r="P4" s="1108" t="s">
        <v>77</v>
      </c>
      <c r="Q4" s="1108" t="s">
        <v>78</v>
      </c>
      <c r="R4" s="1109" t="s">
        <v>83</v>
      </c>
      <c r="S4" s="1108" t="s">
        <v>81</v>
      </c>
      <c r="T4" s="1110" t="s">
        <v>88</v>
      </c>
      <c r="U4" s="1111" t="s">
        <v>121</v>
      </c>
      <c r="V4" s="1108" t="s">
        <v>122</v>
      </c>
      <c r="W4" s="1112" t="s">
        <v>123</v>
      </c>
    </row>
    <row r="5" spans="1:30" s="1129" customFormat="1" ht="29.25" customHeight="1" x14ac:dyDescent="0.2">
      <c r="A5" s="1113" t="s">
        <v>239</v>
      </c>
      <c r="B5" s="1114"/>
      <c r="C5" s="1115"/>
      <c r="D5" s="1115"/>
      <c r="E5" s="1116">
        <f>SUM(E6:E16)</f>
        <v>52386230.241396733</v>
      </c>
      <c r="F5" s="1117">
        <f>SUM(F6:F16)</f>
        <v>4492936.2432336183</v>
      </c>
      <c r="G5" s="1117">
        <f>SUM(G6:G16)</f>
        <v>966434.53714285733</v>
      </c>
      <c r="H5" s="1118">
        <f>SUM(H6:H16)</f>
        <v>57845601.021773219</v>
      </c>
      <c r="I5" s="1119"/>
      <c r="J5" s="1120"/>
      <c r="K5" s="1121"/>
      <c r="L5" s="1113" t="s">
        <v>239</v>
      </c>
      <c r="M5" s="1122"/>
      <c r="N5" s="1117">
        <f>SUM(N6:N16)</f>
        <v>50205519.441729091</v>
      </c>
      <c r="O5" s="1117">
        <f>SUM(O6:O16)</f>
        <v>3074706.0608974351</v>
      </c>
      <c r="P5" s="1118">
        <f>SUM(P6:P16)</f>
        <v>1485494.6971428571</v>
      </c>
      <c r="Q5" s="1118">
        <f>SUM(Q6:Q16)</f>
        <v>54765720.199769385</v>
      </c>
      <c r="R5" s="1123"/>
      <c r="S5" s="1124"/>
      <c r="T5" s="1125"/>
      <c r="U5" s="1126"/>
      <c r="V5" s="1127"/>
      <c r="W5" s="1128"/>
    </row>
    <row r="6" spans="1:30" s="741" customFormat="1" ht="43.5" x14ac:dyDescent="0.2">
      <c r="A6" s="1130">
        <v>800</v>
      </c>
      <c r="B6" s="1131" t="s">
        <v>138</v>
      </c>
      <c r="C6" s="1132">
        <v>800</v>
      </c>
      <c r="D6" s="1132" t="s">
        <v>138</v>
      </c>
      <c r="E6" s="1133">
        <v>8538955.5293476693</v>
      </c>
      <c r="F6" s="1134">
        <v>732348.60764707986</v>
      </c>
      <c r="G6" s="1135">
        <v>157528.82955428574</v>
      </c>
      <c r="H6" s="1136">
        <f>SUM(E6:G6)</f>
        <v>9428832.9665490352</v>
      </c>
      <c r="I6" s="1137">
        <v>1</v>
      </c>
      <c r="J6" s="1138" t="s">
        <v>1</v>
      </c>
      <c r="K6" s="1139">
        <f>+H6/I6</f>
        <v>9428832.9665490352</v>
      </c>
      <c r="L6" s="1140">
        <f>+'ข้อมูล ต.3-505,708,709ไป สนน.'!A6</f>
        <v>800</v>
      </c>
      <c r="M6" s="1141" t="str">
        <f>+'ข้อมูล ต.3-505,708,709ไป สนน.'!B6</f>
        <v>งานจัดทำแผนพัฒนาการเกษตร</v>
      </c>
      <c r="N6" s="1142">
        <f>+'ข้อมูล ต.3-505,708,709ไป สนน.'!C6</f>
        <v>9639459.7328119855</v>
      </c>
      <c r="O6" s="1142">
        <f>+'ข้อมูล ต.3-505,708,709ไป สนน.'!D6</f>
        <v>590343.56369230757</v>
      </c>
      <c r="P6" s="1142">
        <f>+'ข้อมูล ต.3-505,708,709ไป สนน.'!E6</f>
        <v>285214.98185142857</v>
      </c>
      <c r="Q6" s="1143">
        <f>SUM(N6:P6)</f>
        <v>10515018.278355721</v>
      </c>
      <c r="R6" s="1144">
        <f>+'ข้อมูล ต.3-505,708,709ไป สนน.'!G6</f>
        <v>1</v>
      </c>
      <c r="S6" s="1144" t="str">
        <f>+'ข้อมูล ต.3-505,708,709ไป สนน.'!H6</f>
        <v>เรื่อง</v>
      </c>
      <c r="T6" s="1145">
        <f>+Q6/R6</f>
        <v>10515018.278355721</v>
      </c>
      <c r="U6" s="1146">
        <f>+Q6/H6*100-100</f>
        <v>11.519827699357705</v>
      </c>
      <c r="V6" s="1147">
        <f>+R6/I6*100-100</f>
        <v>0</v>
      </c>
      <c r="W6" s="1148">
        <f>+T6/K6*100-100</f>
        <v>11.519827699357705</v>
      </c>
      <c r="Y6" s="741" t="s">
        <v>192</v>
      </c>
      <c r="AA6" s="1149">
        <v>800</v>
      </c>
      <c r="AB6" s="1150" t="s">
        <v>138</v>
      </c>
      <c r="AC6" s="1151">
        <v>1</v>
      </c>
      <c r="AD6" s="1152" t="s">
        <v>1</v>
      </c>
    </row>
    <row r="7" spans="1:30" s="741" customFormat="1" ht="43.5" x14ac:dyDescent="0.2">
      <c r="A7" s="1153">
        <v>801</v>
      </c>
      <c r="B7" s="1154" t="s">
        <v>139</v>
      </c>
      <c r="C7" s="1155">
        <v>801</v>
      </c>
      <c r="D7" s="1155" t="s">
        <v>139</v>
      </c>
      <c r="E7" s="1156">
        <v>8240354.0169717073</v>
      </c>
      <c r="F7" s="1157">
        <v>706738.87106064812</v>
      </c>
      <c r="G7" s="1158">
        <v>152020.15269257146</v>
      </c>
      <c r="H7" s="1159">
        <f t="shared" ref="H7:H16" si="0">SUM(E7:G7)</f>
        <v>9099113.0407249276</v>
      </c>
      <c r="I7" s="1160">
        <v>4</v>
      </c>
      <c r="J7" s="1161" t="s">
        <v>28</v>
      </c>
      <c r="K7" s="1162">
        <f t="shared" ref="K7:K16" si="1">+H7/I7</f>
        <v>2274778.2601812319</v>
      </c>
      <c r="L7" s="1163">
        <f>+'ข้อมูล ต.3-505,708,709ไป สนน.'!A7</f>
        <v>801</v>
      </c>
      <c r="M7" s="1164" t="str">
        <f>+'ข้อมูล ต.3-505,708,709ไป สนน.'!B7</f>
        <v>งานจัดทำภาวะเศรษฐกิจการเกษตร</v>
      </c>
      <c r="N7" s="1165">
        <f>+'ข้อมูล ต.3-505,708,709ไป สนน.'!C7</f>
        <v>7897328.2081839871</v>
      </c>
      <c r="O7" s="1165">
        <f>+'ข้อมูล ต.3-505,708,709ไป สนน.'!D7</f>
        <v>483651.26337916666</v>
      </c>
      <c r="P7" s="1165">
        <f>+'ข้อมูล ต.3-505,708,709ไป สนน.'!E7</f>
        <v>233668.31586057143</v>
      </c>
      <c r="Q7" s="1166">
        <f t="shared" ref="Q7:Q16" si="2">SUM(N7:P7)</f>
        <v>8614647.7874237262</v>
      </c>
      <c r="R7" s="1167">
        <f>+'ข้อมูล ต.3-505,708,709ไป สนน.'!G7</f>
        <v>4</v>
      </c>
      <c r="S7" s="1167" t="str">
        <f>+'ข้อมูล ต.3-505,708,709ไป สนน.'!H7</f>
        <v>ครั้ง</v>
      </c>
      <c r="T7" s="1168">
        <f t="shared" ref="T7:T16" si="3">+Q7/R7</f>
        <v>2153661.9468559315</v>
      </c>
      <c r="U7" s="1169">
        <f t="shared" ref="U7:U16" si="4">+Q7/H7*100-100</f>
        <v>-5.3243129427327602</v>
      </c>
      <c r="V7" s="1170">
        <f t="shared" ref="V7:V16" si="5">+R7/I7*100-100</f>
        <v>0</v>
      </c>
      <c r="W7" s="1171">
        <f t="shared" ref="W7:W16" si="6">+T7/K7*100-100</f>
        <v>-5.3243129427327602</v>
      </c>
      <c r="AA7" s="1149">
        <v>801</v>
      </c>
      <c r="AB7" s="1150" t="s">
        <v>139</v>
      </c>
      <c r="AC7" s="1151">
        <v>4</v>
      </c>
      <c r="AD7" s="1152" t="s">
        <v>28</v>
      </c>
    </row>
    <row r="8" spans="1:30" s="741" customFormat="1" ht="65.25" x14ac:dyDescent="0.2">
      <c r="A8" s="1153">
        <v>802</v>
      </c>
      <c r="B8" s="1154" t="s">
        <v>140</v>
      </c>
      <c r="C8" s="1155">
        <v>802</v>
      </c>
      <c r="D8" s="1155" t="s">
        <v>140</v>
      </c>
      <c r="E8" s="1156">
        <v>12928921.623576716</v>
      </c>
      <c r="F8" s="1157">
        <v>1108856.664830057</v>
      </c>
      <c r="G8" s="1158">
        <v>238516.04376685715</v>
      </c>
      <c r="H8" s="1159">
        <f t="shared" si="0"/>
        <v>14276294.332173631</v>
      </c>
      <c r="I8" s="1160">
        <v>20</v>
      </c>
      <c r="J8" s="1161" t="s">
        <v>1</v>
      </c>
      <c r="K8" s="1162">
        <f t="shared" si="1"/>
        <v>713814.71660868148</v>
      </c>
      <c r="L8" s="1163">
        <f>+'ข้อมูล ต.3-505,708,709ไป สนน.'!A8</f>
        <v>802</v>
      </c>
      <c r="M8" s="1164" t="str">
        <f>+'ข้อมูล ต.3-505,708,709ไป สนน.'!B8</f>
        <v>งานจัดทำยุทธศาสตร์ มาตรการ แนวทางการพัฒนาการเกษตร</v>
      </c>
      <c r="N8" s="1165">
        <f>+'ข้อมูล ต.3-505,708,709ไป สนน.'!C8</f>
        <v>10884556.614966869</v>
      </c>
      <c r="O8" s="1165">
        <f>+'ข้อมูล ต.3-505,708,709ไป สนน.'!D8</f>
        <v>666596.27400256402</v>
      </c>
      <c r="P8" s="1165">
        <f>+'ข้อมูล ต.3-505,708,709ไป สนน.'!E8</f>
        <v>322055.25034057139</v>
      </c>
      <c r="Q8" s="1166">
        <f t="shared" si="2"/>
        <v>11873208.139310004</v>
      </c>
      <c r="R8" s="1167">
        <f>+'ข้อมูล ต.3-505,708,709ไป สนน.'!G8</f>
        <v>18</v>
      </c>
      <c r="S8" s="1167" t="str">
        <f>+'ข้อมูล ต.3-505,708,709ไป สนน.'!H8</f>
        <v>เรื่อง</v>
      </c>
      <c r="T8" s="1168">
        <f t="shared" si="3"/>
        <v>659622.67440611136</v>
      </c>
      <c r="U8" s="1169">
        <f t="shared" si="4"/>
        <v>-16.832702779515657</v>
      </c>
      <c r="V8" s="1170">
        <f t="shared" si="5"/>
        <v>-10</v>
      </c>
      <c r="W8" s="1171">
        <f t="shared" si="6"/>
        <v>-7.5918919772396123</v>
      </c>
      <c r="AA8" s="1149">
        <v>802</v>
      </c>
      <c r="AB8" s="1150" t="s">
        <v>140</v>
      </c>
      <c r="AC8" s="1151">
        <v>25</v>
      </c>
      <c r="AD8" s="1152" t="s">
        <v>1</v>
      </c>
    </row>
    <row r="9" spans="1:30" s="741" customFormat="1" ht="65.25" x14ac:dyDescent="0.2">
      <c r="A9" s="1153">
        <v>803</v>
      </c>
      <c r="B9" s="1154" t="s">
        <v>141</v>
      </c>
      <c r="C9" s="1155">
        <v>803</v>
      </c>
      <c r="D9" s="1155" t="s">
        <v>141</v>
      </c>
      <c r="E9" s="1156">
        <v>5762485.3265536418</v>
      </c>
      <c r="F9" s="1157">
        <v>494222.98675569805</v>
      </c>
      <c r="G9" s="1158">
        <v>106307.7990857143</v>
      </c>
      <c r="H9" s="1159">
        <f t="shared" si="0"/>
        <v>6363016.1123950537</v>
      </c>
      <c r="I9" s="1160">
        <v>26</v>
      </c>
      <c r="J9" s="1161" t="s">
        <v>29</v>
      </c>
      <c r="K9" s="1162">
        <f t="shared" si="1"/>
        <v>244731.3889382713</v>
      </c>
      <c r="L9" s="1163">
        <f>+'ข้อมูล ต.3-505,708,709ไป สนน.'!A9</f>
        <v>803</v>
      </c>
      <c r="M9" s="1164" t="str">
        <f>+'ข้อมูล ต.3-505,708,709ไป สนน.'!B9</f>
        <v>งานวิเคราะห์แผนงาน โครงการและงบประมาณของ กษ.</v>
      </c>
      <c r="N9" s="1165">
        <f>+'ข้อมูล ต.3-505,708,709ไป สนน.'!C9</f>
        <v>5522607.1385902008</v>
      </c>
      <c r="O9" s="1165">
        <f>+'ข้อมูล ต.3-505,708,709ไป สนน.'!D9</f>
        <v>338217.66669871792</v>
      </c>
      <c r="P9" s="1165">
        <f>+'ข้อมูล ต.3-505,708,709ไป สนน.'!E9</f>
        <v>163404.41668571427</v>
      </c>
      <c r="Q9" s="1166">
        <f t="shared" si="2"/>
        <v>6024229.2219746327</v>
      </c>
      <c r="R9" s="1167">
        <f>+'ข้อมูล ต.3-505,708,709ไป สนน.'!G9</f>
        <v>26</v>
      </c>
      <c r="S9" s="1167" t="str">
        <f>+'ข้อมูล ต.3-505,708,709ไป สนน.'!H9</f>
        <v>หน่วยงาน</v>
      </c>
      <c r="T9" s="1168">
        <f t="shared" si="3"/>
        <v>231701.12392210125</v>
      </c>
      <c r="U9" s="1169">
        <f t="shared" si="4"/>
        <v>-5.3243129427327744</v>
      </c>
      <c r="V9" s="1170">
        <f t="shared" si="5"/>
        <v>0</v>
      </c>
      <c r="W9" s="1171">
        <f t="shared" si="6"/>
        <v>-5.3243129427327744</v>
      </c>
      <c r="AA9" s="1149">
        <v>803</v>
      </c>
      <c r="AB9" s="1150" t="s">
        <v>141</v>
      </c>
      <c r="AC9" s="1151">
        <v>26</v>
      </c>
      <c r="AD9" s="1152" t="s">
        <v>29</v>
      </c>
    </row>
    <row r="10" spans="1:30" s="741" customFormat="1" ht="43.5" x14ac:dyDescent="0.2">
      <c r="A10" s="1153">
        <v>804</v>
      </c>
      <c r="B10" s="1154" t="s">
        <v>142</v>
      </c>
      <c r="C10" s="1155">
        <v>804</v>
      </c>
      <c r="D10" s="1155" t="s">
        <v>142</v>
      </c>
      <c r="E10" s="1156">
        <v>1571586.9072419023</v>
      </c>
      <c r="F10" s="1157">
        <v>134788.08729700855</v>
      </c>
      <c r="G10" s="1158">
        <v>28993.036114285718</v>
      </c>
      <c r="H10" s="1159">
        <f t="shared" si="0"/>
        <v>1735368.0306531966</v>
      </c>
      <c r="I10" s="1160">
        <v>12</v>
      </c>
      <c r="J10" s="1161" t="s">
        <v>28</v>
      </c>
      <c r="K10" s="1162">
        <f t="shared" si="1"/>
        <v>144614.00255443304</v>
      </c>
      <c r="L10" s="1163">
        <f>+'ข้อมูล ต.3-505,708,709ไป สนน.'!A10</f>
        <v>804</v>
      </c>
      <c r="M10" s="1164" t="str">
        <f>+'ข้อมูล ต.3-505,708,709ไป สนน.'!B10</f>
        <v>งานติดตามผลการดำเนินงานของ กษ.</v>
      </c>
      <c r="N10" s="1165">
        <f>+'ข้อมูล ต.3-505,708,709ไป สนน.'!C10</f>
        <v>1506165.583251873</v>
      </c>
      <c r="O10" s="1165">
        <f>+'ข้อมูล ต.3-505,708,709ไป สนน.'!D10</f>
        <v>92241.181826923057</v>
      </c>
      <c r="P10" s="1165">
        <f>+'ข้อมูล ต.3-505,708,709ไป สนน.'!E10</f>
        <v>44564.840914285713</v>
      </c>
      <c r="Q10" s="1166">
        <f t="shared" si="2"/>
        <v>1642971.6059930818</v>
      </c>
      <c r="R10" s="1167">
        <f>+'ข้อมูล ต.3-505,708,709ไป สนน.'!G10</f>
        <v>12</v>
      </c>
      <c r="S10" s="1167" t="str">
        <f>+'ข้อมูล ต.3-505,708,709ไป สนน.'!H10</f>
        <v>ครั้ง</v>
      </c>
      <c r="T10" s="1168">
        <f t="shared" si="3"/>
        <v>136914.30049942349</v>
      </c>
      <c r="U10" s="1169">
        <f t="shared" si="4"/>
        <v>-5.3243129427327744</v>
      </c>
      <c r="V10" s="1170">
        <f t="shared" si="5"/>
        <v>0</v>
      </c>
      <c r="W10" s="1171">
        <f t="shared" si="6"/>
        <v>-5.324312942732746</v>
      </c>
      <c r="AA10" s="1149">
        <v>804</v>
      </c>
      <c r="AB10" s="1150" t="s">
        <v>142</v>
      </c>
      <c r="AC10" s="1151">
        <v>10</v>
      </c>
      <c r="AD10" s="1152" t="s">
        <v>28</v>
      </c>
    </row>
    <row r="11" spans="1:30" s="741" customFormat="1" ht="43.5" x14ac:dyDescent="0.2">
      <c r="A11" s="1153">
        <v>805</v>
      </c>
      <c r="B11" s="1172" t="s">
        <v>143</v>
      </c>
      <c r="C11" s="1173">
        <v>805</v>
      </c>
      <c r="D11" s="1173" t="s">
        <v>143</v>
      </c>
      <c r="E11" s="1156">
        <v>2095449.2096558695</v>
      </c>
      <c r="F11" s="1157">
        <v>179717.44972934472</v>
      </c>
      <c r="G11" s="1158">
        <v>38657.381485714286</v>
      </c>
      <c r="H11" s="1159">
        <f t="shared" si="0"/>
        <v>2313824.0408709282</v>
      </c>
      <c r="I11" s="1160">
        <v>16</v>
      </c>
      <c r="J11" s="1161" t="s">
        <v>28</v>
      </c>
      <c r="K11" s="1162">
        <f t="shared" si="1"/>
        <v>144614.00255443301</v>
      </c>
      <c r="L11" s="1163">
        <f>+'ข้อมูล ต.3-505,708,709ไป สนน.'!A11</f>
        <v>805</v>
      </c>
      <c r="M11" s="1164" t="str">
        <f>+'ข้อมูล ต.3-505,708,709ไป สนน.'!B11</f>
        <v>งานติดตามผลการใช้จ่ายเงินของ กษ.</v>
      </c>
      <c r="N11" s="1165">
        <f>+'ข้อมูล ต.3-505,708,709ไป สนน.'!C11</f>
        <v>2008220.7776691639</v>
      </c>
      <c r="O11" s="1165">
        <f>+'ข้อมูล ต.3-505,708,709ไป สนน.'!D11</f>
        <v>122988.24243589742</v>
      </c>
      <c r="P11" s="1165">
        <f>+'ข้อมูล ต.3-505,708,709ไป สนน.'!E11</f>
        <v>59419.787885714286</v>
      </c>
      <c r="Q11" s="1166">
        <f t="shared" si="2"/>
        <v>2190628.8079907754</v>
      </c>
      <c r="R11" s="1167">
        <f>+'ข้อมูล ต.3-505,708,709ไป สนน.'!G11</f>
        <v>16</v>
      </c>
      <c r="S11" s="1167" t="str">
        <f>+'ข้อมูล ต.3-505,708,709ไป สนน.'!H11</f>
        <v>ครั้ง</v>
      </c>
      <c r="T11" s="1168">
        <f t="shared" si="3"/>
        <v>136914.30049942347</v>
      </c>
      <c r="U11" s="1169">
        <f t="shared" si="4"/>
        <v>-5.3243129427327602</v>
      </c>
      <c r="V11" s="1170">
        <f t="shared" si="5"/>
        <v>0</v>
      </c>
      <c r="W11" s="1171">
        <f t="shared" si="6"/>
        <v>-5.3243129427327602</v>
      </c>
      <c r="AA11" s="1149">
        <v>805</v>
      </c>
      <c r="AB11" s="1150" t="s">
        <v>143</v>
      </c>
      <c r="AC11" s="1151">
        <v>14</v>
      </c>
      <c r="AD11" s="1152" t="s">
        <v>28</v>
      </c>
    </row>
    <row r="12" spans="1:30" s="741" customFormat="1" ht="29.25" customHeight="1" x14ac:dyDescent="0.2">
      <c r="A12" s="1153">
        <v>806</v>
      </c>
      <c r="B12" s="1172" t="s">
        <v>0</v>
      </c>
      <c r="C12" s="1173">
        <v>806</v>
      </c>
      <c r="D12" s="1173" t="s">
        <v>0</v>
      </c>
      <c r="E12" s="1156">
        <v>4908589.7736188741</v>
      </c>
      <c r="F12" s="1157">
        <v>420988.12599099003</v>
      </c>
      <c r="G12" s="1158">
        <v>90554.91613028571</v>
      </c>
      <c r="H12" s="1159">
        <f t="shared" si="0"/>
        <v>5420132.8157401495</v>
      </c>
      <c r="I12" s="1160">
        <v>33</v>
      </c>
      <c r="J12" s="1161" t="s">
        <v>28</v>
      </c>
      <c r="K12" s="1162">
        <f t="shared" si="1"/>
        <v>164246.44896182272</v>
      </c>
      <c r="L12" s="1163">
        <f>+'ข้อมูล ต.3-505,708,709ไป สนน.'!A12</f>
        <v>806</v>
      </c>
      <c r="M12" s="1164" t="str">
        <f>+'ข้อมูล ต.3-505,708,709ไป สนน.'!B12</f>
        <v xml:space="preserve">งานจัดประชุม </v>
      </c>
      <c r="N12" s="1165">
        <f>+'ข้อมูล ต.3-505,708,709ไป สนน.'!C12</f>
        <v>6210422.7549418891</v>
      </c>
      <c r="O12" s="1165">
        <f>+'ข้อมูล ต.3-505,708,709ไป สนน.'!D12</f>
        <v>380341.13973301277</v>
      </c>
      <c r="P12" s="1165">
        <f>+'ข้อมูล ต.3-505,708,709ไป สนน.'!E12</f>
        <v>183755.69403657143</v>
      </c>
      <c r="Q12" s="1166">
        <f t="shared" si="2"/>
        <v>6774519.5887114732</v>
      </c>
      <c r="R12" s="1167">
        <f>+'ข้อมูล ต.3-505,708,709ไป สนน.'!G12</f>
        <v>40</v>
      </c>
      <c r="S12" s="1167" t="str">
        <f>+'ข้อมูล ต.3-505,708,709ไป สนน.'!H12</f>
        <v>ครั้ง</v>
      </c>
      <c r="T12" s="1168">
        <f t="shared" si="3"/>
        <v>169362.98971778684</v>
      </c>
      <c r="U12" s="1169">
        <f t="shared" si="4"/>
        <v>24.988073521707136</v>
      </c>
      <c r="V12" s="1170">
        <f t="shared" si="5"/>
        <v>21.212121212121218</v>
      </c>
      <c r="W12" s="1171">
        <f t="shared" si="6"/>
        <v>3.1151606554083742</v>
      </c>
      <c r="AA12" s="1149">
        <v>806</v>
      </c>
      <c r="AB12" s="1150" t="s">
        <v>0</v>
      </c>
      <c r="AC12" s="1151">
        <v>23</v>
      </c>
      <c r="AD12" s="1152" t="s">
        <v>28</v>
      </c>
    </row>
    <row r="13" spans="1:30" s="741" customFormat="1" ht="43.5" x14ac:dyDescent="0.2">
      <c r="A13" s="1153">
        <v>507</v>
      </c>
      <c r="B13" s="1172" t="s">
        <v>207</v>
      </c>
      <c r="C13" s="1173">
        <v>507</v>
      </c>
      <c r="D13" s="1173" t="s">
        <v>207</v>
      </c>
      <c r="E13" s="1156">
        <v>1519200.6770005054</v>
      </c>
      <c r="F13" s="1157">
        <v>130295.15105377493</v>
      </c>
      <c r="G13" s="1158">
        <v>28026.601577142857</v>
      </c>
      <c r="H13" s="1159">
        <f t="shared" si="0"/>
        <v>1677522.4296314232</v>
      </c>
      <c r="I13" s="1160">
        <v>6</v>
      </c>
      <c r="J13" s="1161" t="s">
        <v>8</v>
      </c>
      <c r="K13" s="1162">
        <f t="shared" si="1"/>
        <v>279587.0716052372</v>
      </c>
      <c r="L13" s="1163">
        <f>+'ข้อมูล ต.3-505,708,709ไป สนน.'!A13</f>
        <v>507</v>
      </c>
      <c r="M13" s="1164" t="str">
        <f>+'ข้อมูล ต.3-505,708,709ไป สนน.'!B13</f>
        <v>การพัฒนาเมืองเกษตรสีเขียว*** -ปี 61 ไม่มี</v>
      </c>
      <c r="N13" s="1165">
        <f>+'ข้อมูล ต.3-505,708,709ไป สนน.'!C13</f>
        <v>0</v>
      </c>
      <c r="O13" s="1165">
        <f>+'ข้อมูล ต.3-505,708,709ไป สนน.'!D13</f>
        <v>0</v>
      </c>
      <c r="P13" s="1165">
        <f>+'ข้อมูล ต.3-505,708,709ไป สนน.'!E13</f>
        <v>0</v>
      </c>
      <c r="Q13" s="1166">
        <f t="shared" si="2"/>
        <v>0</v>
      </c>
      <c r="R13" s="1167">
        <f>+'ข้อมูล ต.3-505,708,709ไป สนน.'!G13</f>
        <v>0</v>
      </c>
      <c r="S13" s="1167">
        <f>+'ข้อมูล ต.3-505,708,709ไป สนน.'!H13</f>
        <v>0</v>
      </c>
      <c r="T13" s="1168" t="e">
        <f t="shared" si="3"/>
        <v>#DIV/0!</v>
      </c>
      <c r="U13" s="1169">
        <f t="shared" si="4"/>
        <v>-100</v>
      </c>
      <c r="V13" s="1170">
        <f t="shared" si="5"/>
        <v>-100</v>
      </c>
      <c r="W13" s="1171" t="e">
        <f t="shared" si="6"/>
        <v>#DIV/0!</v>
      </c>
      <c r="AA13" s="1174">
        <v>507</v>
      </c>
      <c r="AB13" s="1175" t="s">
        <v>205</v>
      </c>
      <c r="AC13" s="1176">
        <v>6</v>
      </c>
      <c r="AD13" s="1152" t="s">
        <v>28</v>
      </c>
    </row>
    <row r="14" spans="1:30" s="741" customFormat="1" ht="43.5" x14ac:dyDescent="0.2">
      <c r="A14" s="1177">
        <v>808</v>
      </c>
      <c r="B14" s="1172" t="s">
        <v>222</v>
      </c>
      <c r="C14" s="1173">
        <v>808</v>
      </c>
      <c r="D14" s="1173" t="s">
        <v>222</v>
      </c>
      <c r="E14" s="1156">
        <v>4714760.721725706</v>
      </c>
      <c r="F14" s="1157">
        <v>404364.2618910257</v>
      </c>
      <c r="G14" s="1158">
        <v>86979.108342857158</v>
      </c>
      <c r="H14" s="1159">
        <f t="shared" si="0"/>
        <v>5206104.0919595892</v>
      </c>
      <c r="I14" s="1160">
        <v>3</v>
      </c>
      <c r="J14" s="1161" t="s">
        <v>28</v>
      </c>
      <c r="K14" s="1162">
        <f t="shared" si="1"/>
        <v>1735368.0306531964</v>
      </c>
      <c r="L14" s="1163">
        <f>+'ข้อมูล ต.3-505,708,709ไป สนน.'!A14</f>
        <v>808</v>
      </c>
      <c r="M14" s="1164" t="str">
        <f>+'ข้อมูล ต.3-505,708,709ไป สนน.'!B14</f>
        <v>การบริหารจัดการเกษตรเขตเศรษฐกิจ***</v>
      </c>
      <c r="N14" s="1165">
        <f>+'ข้อมูล ต.3-505,708,709ไป สนน.'!C14</f>
        <v>4518496.7497556182</v>
      </c>
      <c r="O14" s="1165">
        <f>+'ข้อมูล ต.3-505,708,709ไป สนน.'!D14</f>
        <v>276723.54548076919</v>
      </c>
      <c r="P14" s="1165">
        <f>+'ข้อมูล ต.3-505,708,709ไป สนน.'!E14</f>
        <v>133694.52274285714</v>
      </c>
      <c r="Q14" s="1166">
        <f t="shared" si="2"/>
        <v>4928914.8179792445</v>
      </c>
      <c r="R14" s="1167">
        <f>+'ข้อมูล ต.3-505,708,709ไป สนน.'!G14</f>
        <v>3</v>
      </c>
      <c r="S14" s="1167" t="str">
        <f>+'ข้อมูล ต.3-505,708,709ไป สนน.'!H14</f>
        <v>ครั้ง</v>
      </c>
      <c r="T14" s="1168">
        <f t="shared" si="3"/>
        <v>1642971.6059930816</v>
      </c>
      <c r="U14" s="1169">
        <f t="shared" si="4"/>
        <v>-5.3243129427327744</v>
      </c>
      <c r="V14" s="1170">
        <f t="shared" si="5"/>
        <v>0</v>
      </c>
      <c r="W14" s="1171">
        <f t="shared" si="6"/>
        <v>-5.3243129427327744</v>
      </c>
      <c r="AA14" s="1174">
        <v>507</v>
      </c>
      <c r="AB14" s="1175" t="s">
        <v>205</v>
      </c>
      <c r="AC14" s="1176">
        <v>6</v>
      </c>
      <c r="AD14" s="1152" t="s">
        <v>28</v>
      </c>
    </row>
    <row r="15" spans="1:30" s="741" customFormat="1" ht="48" customHeight="1" x14ac:dyDescent="0.2">
      <c r="A15" s="1177">
        <v>809</v>
      </c>
      <c r="B15" s="1172" t="s">
        <v>517</v>
      </c>
      <c r="C15" s="1173">
        <v>809</v>
      </c>
      <c r="D15" s="1173" t="s">
        <v>309</v>
      </c>
      <c r="E15" s="1156">
        <v>1047724.6048279348</v>
      </c>
      <c r="F15" s="1157">
        <v>89858.72486467236</v>
      </c>
      <c r="G15" s="1158">
        <v>19328.690742857143</v>
      </c>
      <c r="H15" s="1159">
        <f t="shared" si="0"/>
        <v>1156912.0204354641</v>
      </c>
      <c r="I15" s="1160">
        <v>1</v>
      </c>
      <c r="J15" s="1161" t="s">
        <v>1</v>
      </c>
      <c r="K15" s="1162">
        <f t="shared" si="1"/>
        <v>1156912.0204354641</v>
      </c>
      <c r="L15" s="1163">
        <f>+'ข้อมูล ต.3-505,708,709ไป สนน.'!A15</f>
        <v>809</v>
      </c>
      <c r="M15" s="1164" t="str">
        <f>+'ข้อมูล ต.3-505,708,709ไป สนน.'!B15</f>
        <v>การพัฒนาโครงสร้างพื้นฐานและระบบโลจิสติกส์</v>
      </c>
      <c r="N15" s="1165">
        <f>+'ข้อมูล ต.3-505,708,709ไป สนน.'!C15</f>
        <v>1004110.3888345819</v>
      </c>
      <c r="O15" s="1165">
        <f>+'ข้อมูล ต.3-505,708,709ไป สนน.'!D15</f>
        <v>61494.121217948712</v>
      </c>
      <c r="P15" s="1165">
        <f>+'ข้อมูล ต.3-505,708,709ไป สนน.'!E15</f>
        <v>29709.893942857143</v>
      </c>
      <c r="Q15" s="1166">
        <f t="shared" si="2"/>
        <v>1095314.4039953877</v>
      </c>
      <c r="R15" s="1167">
        <f>+'ข้อมูล ต.3-505,708,709ไป สนน.'!G15</f>
        <v>1</v>
      </c>
      <c r="S15" s="1167" t="str">
        <f>+'ข้อมูล ต.3-505,708,709ไป สนน.'!H15</f>
        <v>เรื่อง</v>
      </c>
      <c r="T15" s="1168">
        <f t="shared" si="3"/>
        <v>1095314.4039953877</v>
      </c>
      <c r="U15" s="1169">
        <f t="shared" si="4"/>
        <v>-5.3243129427327602</v>
      </c>
      <c r="V15" s="1170">
        <f t="shared" si="5"/>
        <v>0</v>
      </c>
      <c r="W15" s="1171">
        <f t="shared" si="6"/>
        <v>-5.3243129427327602</v>
      </c>
      <c r="AA15" s="1178"/>
      <c r="AB15" s="1179"/>
      <c r="AC15" s="1180"/>
      <c r="AD15" s="1181"/>
    </row>
    <row r="16" spans="1:30" s="741" customFormat="1" ht="22.5" thickBot="1" x14ac:dyDescent="0.25">
      <c r="A16" s="1182">
        <v>810</v>
      </c>
      <c r="B16" s="1183" t="s">
        <v>310</v>
      </c>
      <c r="C16" s="1184">
        <v>810</v>
      </c>
      <c r="D16" s="1184" t="s">
        <v>310</v>
      </c>
      <c r="E16" s="1185">
        <v>1058201.8508762142</v>
      </c>
      <c r="F16" s="1186">
        <v>90757.312113319102</v>
      </c>
      <c r="G16" s="1187">
        <v>19521.977650285713</v>
      </c>
      <c r="H16" s="1188">
        <f t="shared" si="0"/>
        <v>1168481.140639819</v>
      </c>
      <c r="I16" s="1189">
        <v>1</v>
      </c>
      <c r="J16" s="1190" t="s">
        <v>1</v>
      </c>
      <c r="K16" s="1191">
        <f t="shared" si="1"/>
        <v>1168481.140639819</v>
      </c>
      <c r="L16" s="1192">
        <f>+'ข้อมูล ต.3-505,708,709ไป สนน.'!A16</f>
        <v>810</v>
      </c>
      <c r="M16" s="1193" t="str">
        <f>+'ข้อมูล ต.3-505,708,709ไป สนน.'!B16</f>
        <v>การพัฒนาเกษตรอินทรีย์***</v>
      </c>
      <c r="N16" s="1194">
        <f>+'ข้อมูล ต.3-505,708,709ไป สนน.'!C16</f>
        <v>1014151.4927229278</v>
      </c>
      <c r="O16" s="1194">
        <f>+'ข้อมูล ต.3-505,708,709ไป สนน.'!D16</f>
        <v>62109.062430128193</v>
      </c>
      <c r="P16" s="1194">
        <f>+'ข้อมูล ต.3-505,708,709ไป สนน.'!E16</f>
        <v>30006.992882285715</v>
      </c>
      <c r="Q16" s="1195">
        <f t="shared" si="2"/>
        <v>1106267.5480353418</v>
      </c>
      <c r="R16" s="1167">
        <f>+'ข้อมูล ต.3-505,708,709ไป สนน.'!G16</f>
        <v>1</v>
      </c>
      <c r="S16" s="1167" t="str">
        <f>+'ข้อมูล ต.3-505,708,709ไป สนน.'!H16</f>
        <v>เรื่อง</v>
      </c>
      <c r="T16" s="1196">
        <f t="shared" si="3"/>
        <v>1106267.5480353418</v>
      </c>
      <c r="U16" s="1197">
        <f t="shared" si="4"/>
        <v>-5.3243129427327602</v>
      </c>
      <c r="V16" s="1198">
        <f t="shared" si="5"/>
        <v>0</v>
      </c>
      <c r="W16" s="1199">
        <f t="shared" si="6"/>
        <v>-5.3243129427327602</v>
      </c>
      <c r="AA16" s="1178"/>
      <c r="AB16" s="1179"/>
      <c r="AC16" s="1180"/>
      <c r="AD16" s="1181"/>
    </row>
    <row r="17" spans="1:30" s="1129" customFormat="1" ht="28.5" customHeight="1" x14ac:dyDescent="0.2">
      <c r="A17" s="1200" t="s">
        <v>137</v>
      </c>
      <c r="B17" s="1122"/>
      <c r="C17" s="1201"/>
      <c r="D17" s="1201"/>
      <c r="E17" s="1116">
        <f>SUM(E18)</f>
        <v>3495431.5559999999</v>
      </c>
      <c r="F17" s="1117">
        <f>SUM(F18)</f>
        <v>612064.26648148149</v>
      </c>
      <c r="G17" s="1118">
        <f>SUM(G18)</f>
        <v>256661.92000000004</v>
      </c>
      <c r="H17" s="1117">
        <f>SUM(E17:G17)</f>
        <v>4364157.7424814813</v>
      </c>
      <c r="I17" s="1202"/>
      <c r="J17" s="1203"/>
      <c r="K17" s="1204"/>
      <c r="L17" s="1205" t="s">
        <v>137</v>
      </c>
      <c r="M17" s="1206"/>
      <c r="N17" s="1117">
        <f>SUM(N18)</f>
        <v>1797051.5097435897</v>
      </c>
      <c r="O17" s="1117">
        <f>SUM(O18)</f>
        <v>519668.9905555555</v>
      </c>
      <c r="P17" s="1117">
        <f>SUM(P18)</f>
        <v>252444.79</v>
      </c>
      <c r="Q17" s="1117">
        <f>SUM(Q18)</f>
        <v>2569165.290299145</v>
      </c>
      <c r="R17" s="1123"/>
      <c r="S17" s="1207"/>
      <c r="T17" s="1208"/>
      <c r="U17" s="1209"/>
      <c r="V17" s="1210"/>
      <c r="W17" s="1211"/>
    </row>
    <row r="18" spans="1:30" s="741" customFormat="1" ht="44.25" thickBot="1" x14ac:dyDescent="0.25">
      <c r="A18" s="1212">
        <v>807</v>
      </c>
      <c r="B18" s="1213" t="s">
        <v>183</v>
      </c>
      <c r="C18" s="1214">
        <v>807</v>
      </c>
      <c r="D18" s="1215" t="s">
        <v>183</v>
      </c>
      <c r="E18" s="1216">
        <v>3495431.5559999999</v>
      </c>
      <c r="F18" s="1217">
        <v>612064.26648148149</v>
      </c>
      <c r="G18" s="1217">
        <v>256661.92000000004</v>
      </c>
      <c r="H18" s="1218">
        <f>SUM(E18:G18)</f>
        <v>4364157.7424814813</v>
      </c>
      <c r="I18" s="1219">
        <v>7</v>
      </c>
      <c r="J18" s="1220" t="s">
        <v>1</v>
      </c>
      <c r="K18" s="1221">
        <f>+H18/I18</f>
        <v>623451.10606878309</v>
      </c>
      <c r="L18" s="1212">
        <f>+'ข้อมูล ต.3-505,708,709ไป สนน.'!A18</f>
        <v>807</v>
      </c>
      <c r="M18" s="1193" t="str">
        <f>+'ข้อมูล ต.3-505,708,709ไป สนน.'!B18</f>
        <v>งานศูนย์ปฏิบัติการเศรษฐกิจการเกษตร</v>
      </c>
      <c r="N18" s="1222">
        <f>+'ข้อมูล ต.3-505,708,709ไป สนน.'!C18</f>
        <v>1797051.5097435897</v>
      </c>
      <c r="O18" s="1222">
        <f>+'ข้อมูล ต.3-505,708,709ไป สนน.'!D18</f>
        <v>519668.9905555555</v>
      </c>
      <c r="P18" s="1222">
        <f>+'ข้อมูล ต.3-505,708,709ไป สนน.'!E18</f>
        <v>252444.79</v>
      </c>
      <c r="Q18" s="1223">
        <f>SUM(N18:P18)</f>
        <v>2569165.290299145</v>
      </c>
      <c r="R18" s="1224">
        <f>+'ข้อมูล ต.3-505,708,709ไป สนน.'!G18</f>
        <v>5</v>
      </c>
      <c r="S18" s="1222" t="str">
        <f>+'ข้อมูล ต.3-505,708,709ไป สนน.'!H18</f>
        <v>เรื่อง</v>
      </c>
      <c r="T18" s="1221">
        <f>+Q18/R18</f>
        <v>513833.058059829</v>
      </c>
      <c r="U18" s="1225">
        <f>+Q18/H18*100-100</f>
        <v>-41.130329335018367</v>
      </c>
      <c r="V18" s="1226">
        <f>+R18/I18*100-100</f>
        <v>-28.571428571428569</v>
      </c>
      <c r="W18" s="1227">
        <f>+T18/K18*100-100</f>
        <v>-17.58246106902574</v>
      </c>
      <c r="AA18" s="1149">
        <v>710</v>
      </c>
      <c r="AB18" s="1150" t="s">
        <v>183</v>
      </c>
      <c r="AC18" s="1151">
        <v>5</v>
      </c>
      <c r="AD18" s="1152" t="s">
        <v>1</v>
      </c>
    </row>
    <row r="19" spans="1:30" s="1129" customFormat="1" ht="29.25" customHeight="1" x14ac:dyDescent="0.2">
      <c r="A19" s="1228" t="s">
        <v>240</v>
      </c>
      <c r="B19" s="1114"/>
      <c r="C19" s="1115"/>
      <c r="D19" s="1115"/>
      <c r="E19" s="1229">
        <f>SUM(E20:E24)</f>
        <v>13218628.181121627</v>
      </c>
      <c r="F19" s="1117">
        <f t="shared" ref="F19:H19" si="7">SUM(F20:F24)</f>
        <v>1289332.2442466922</v>
      </c>
      <c r="G19" s="1117">
        <f t="shared" si="7"/>
        <v>373088.17075228575</v>
      </c>
      <c r="H19" s="1117">
        <f t="shared" si="7"/>
        <v>14881048.596120603</v>
      </c>
      <c r="I19" s="1119"/>
      <c r="J19" s="1203"/>
      <c r="K19" s="1230"/>
      <c r="L19" s="1228" t="s">
        <v>240</v>
      </c>
      <c r="M19" s="1206"/>
      <c r="N19" s="1117">
        <f>SUM(N20:N24)</f>
        <v>12972674.716770051</v>
      </c>
      <c r="O19" s="1117">
        <f>SUM(O20:O24)</f>
        <v>964400.66915407672</v>
      </c>
      <c r="P19" s="1117">
        <f>SUM(P20:P24)</f>
        <v>341304.5184917142</v>
      </c>
      <c r="Q19" s="1117">
        <f>SUM(Q20:Q24)</f>
        <v>14278379.904415842</v>
      </c>
      <c r="R19" s="1123"/>
      <c r="S19" s="1124"/>
      <c r="T19" s="1125"/>
      <c r="U19" s="1209"/>
      <c r="V19" s="1210"/>
      <c r="W19" s="1211"/>
    </row>
    <row r="20" spans="1:30" s="741" customFormat="1" ht="30.75" customHeight="1" x14ac:dyDescent="0.2">
      <c r="A20" s="1231">
        <v>500</v>
      </c>
      <c r="B20" s="1232" t="s">
        <v>144</v>
      </c>
      <c r="C20" s="1233">
        <v>500</v>
      </c>
      <c r="D20" s="1233" t="s">
        <v>144</v>
      </c>
      <c r="E20" s="1234">
        <v>2827170.106010993</v>
      </c>
      <c r="F20" s="1134">
        <v>275759.44551161537</v>
      </c>
      <c r="G20" s="1135">
        <v>79795.248705428574</v>
      </c>
      <c r="H20" s="1136">
        <f t="shared" ref="H20:H24" si="8">SUM(E20:G20)</f>
        <v>3182724.8002280369</v>
      </c>
      <c r="I20" s="1137">
        <v>1</v>
      </c>
      <c r="J20" s="1138" t="s">
        <v>1</v>
      </c>
      <c r="K20" s="1139">
        <f t="shared" ref="K20:K24" si="9">+H20/I20</f>
        <v>3182724.8002280369</v>
      </c>
      <c r="L20" s="1231">
        <f>+'ข้อมูล ต.3-505,708,709ไป สนน.'!A20</f>
        <v>500</v>
      </c>
      <c r="M20" s="1164" t="str">
        <f>+'ข้อมูล ต.3-505,708,709ไป สนน.'!B20</f>
        <v>ภูมิภาคและอนุภูมิภาค</v>
      </c>
      <c r="N20" s="1235">
        <f>+'ข้อมูล ต.3-505,708,709ไป สนน.'!C20</f>
        <v>2367647.1801979714</v>
      </c>
      <c r="O20" s="1235">
        <f>+'ข้อมูล ต.3-505,708,709ไป สนน.'!D20</f>
        <v>176013.08710469227</v>
      </c>
      <c r="P20" s="1235">
        <f>+'ข้อมูล ต.3-505,708,709ไป สนน.'!E20</f>
        <v>62291.601264857134</v>
      </c>
      <c r="Q20" s="1236">
        <f>SUM(N20:P20)</f>
        <v>2605951.8685675208</v>
      </c>
      <c r="R20" s="1237">
        <f>+'ข้อมูล ต.3-505,708,709ไป สนน.'!G20</f>
        <v>1</v>
      </c>
      <c r="S20" s="1238" t="str">
        <f>+'ข้อมูล ต.3-505,708,709ไป สนน.'!H20</f>
        <v>เรื่อง</v>
      </c>
      <c r="T20" s="1239">
        <f>+Q20/R20</f>
        <v>2605951.8685675208</v>
      </c>
      <c r="U20" s="1146">
        <f t="shared" ref="U20:V24" si="10">+Q20/H20*100-100</f>
        <v>-18.121985652645535</v>
      </c>
      <c r="V20" s="1147">
        <f t="shared" si="10"/>
        <v>0</v>
      </c>
      <c r="W20" s="1148">
        <f>+T20/K20*100-100</f>
        <v>-18.121985652645535</v>
      </c>
      <c r="AA20" s="1149">
        <v>500</v>
      </c>
      <c r="AB20" s="1150" t="s">
        <v>144</v>
      </c>
      <c r="AC20" s="1151">
        <v>1</v>
      </c>
      <c r="AD20" s="1152" t="s">
        <v>1</v>
      </c>
    </row>
    <row r="21" spans="1:30" s="741" customFormat="1" ht="30.75" customHeight="1" x14ac:dyDescent="0.2">
      <c r="A21" s="1240">
        <v>501</v>
      </c>
      <c r="B21" s="1172" t="s">
        <v>145</v>
      </c>
      <c r="C21" s="1173">
        <v>501</v>
      </c>
      <c r="D21" s="1173" t="s">
        <v>145</v>
      </c>
      <c r="E21" s="1241">
        <v>2139253.3443109891</v>
      </c>
      <c r="F21" s="1157">
        <v>208660.70802807692</v>
      </c>
      <c r="G21" s="1158">
        <v>60379.194124285721</v>
      </c>
      <c r="H21" s="1159">
        <f t="shared" si="8"/>
        <v>2408293.2464633514</v>
      </c>
      <c r="I21" s="1160">
        <v>1</v>
      </c>
      <c r="J21" s="1161" t="s">
        <v>1</v>
      </c>
      <c r="K21" s="1162">
        <f t="shared" si="9"/>
        <v>2408293.2464633514</v>
      </c>
      <c r="L21" s="1231">
        <f>+'ข้อมูล ต.3-505,708,709ไป สนน.'!A21</f>
        <v>501</v>
      </c>
      <c r="M21" s="1164" t="str">
        <f>+'ข้อมูล ต.3-505,708,709ไป สนน.'!B21</f>
        <v>เศรษฐกิจและการค้า</v>
      </c>
      <c r="N21" s="1235">
        <f>+'ข้อมูล ต.3-505,708,709ไป สนน.'!C21</f>
        <v>1893553.3467375906</v>
      </c>
      <c r="O21" s="1235">
        <f>+'ข้อมูล ต.3-505,708,709ไป สนน.'!D21</f>
        <v>140768.51185607689</v>
      </c>
      <c r="P21" s="1235">
        <f>+'ข้อมูล ต.3-505,708,709ไป สนน.'!E21</f>
        <v>49818.432000857138</v>
      </c>
      <c r="Q21" s="1166">
        <f>SUM(N21:P21)</f>
        <v>2084140.2905945245</v>
      </c>
      <c r="R21" s="1237">
        <f>+'ข้อมูล ต.3-505,708,709ไป สนน.'!G21</f>
        <v>1</v>
      </c>
      <c r="S21" s="1238" t="str">
        <f>+'ข้อมูล ต.3-505,708,709ไป สนน.'!H21</f>
        <v>เรื่อง</v>
      </c>
      <c r="T21" s="1168">
        <f>+Q21/R21</f>
        <v>2084140.2905945245</v>
      </c>
      <c r="U21" s="1169">
        <f t="shared" si="10"/>
        <v>-13.45986234628424</v>
      </c>
      <c r="V21" s="1170">
        <f t="shared" si="10"/>
        <v>0</v>
      </c>
      <c r="W21" s="1171">
        <f>+T21/K21*100-100</f>
        <v>-13.45986234628424</v>
      </c>
      <c r="AA21" s="1149">
        <v>501</v>
      </c>
      <c r="AB21" s="1150" t="s">
        <v>145</v>
      </c>
      <c r="AC21" s="1151">
        <v>1</v>
      </c>
      <c r="AD21" s="1152" t="s">
        <v>1</v>
      </c>
    </row>
    <row r="22" spans="1:30" s="741" customFormat="1" ht="30.75" customHeight="1" x14ac:dyDescent="0.2">
      <c r="A22" s="1240">
        <v>502</v>
      </c>
      <c r="B22" s="1172" t="s">
        <v>146</v>
      </c>
      <c r="C22" s="1173">
        <v>502</v>
      </c>
      <c r="D22" s="1173" t="s">
        <v>146</v>
      </c>
      <c r="E22" s="1241">
        <v>2750268.8419998139</v>
      </c>
      <c r="F22" s="1157">
        <v>268258.57038642303</v>
      </c>
      <c r="G22" s="1158">
        <v>77624.754799000002</v>
      </c>
      <c r="H22" s="1159">
        <f t="shared" si="8"/>
        <v>3096152.1671852367</v>
      </c>
      <c r="I22" s="1160">
        <v>1</v>
      </c>
      <c r="J22" s="1161" t="s">
        <v>1</v>
      </c>
      <c r="K22" s="1162">
        <f t="shared" si="9"/>
        <v>3096152.1671852367</v>
      </c>
      <c r="L22" s="1231">
        <f>+'ข้อมูล ต.3-505,708,709ไป สนน.'!A22</f>
        <v>502</v>
      </c>
      <c r="M22" s="1164" t="str">
        <f>+'ข้อมูล ต.3-505,708,709ไป สนน.'!B22</f>
        <v>องค์กรและยุทธศาสตร์</v>
      </c>
      <c r="N22" s="1235">
        <f>+'ข้อมูล ต.3-505,708,709ไป สนน.'!C22</f>
        <v>2556720.3161613373</v>
      </c>
      <c r="O22" s="1235">
        <f>+'ข้อมูล ต.3-505,708,709ไป สนน.'!D22</f>
        <v>190068.95937646151</v>
      </c>
      <c r="P22" s="1235">
        <f>+'ข้อมูล ต.3-505,708,709ไป สนน.'!E22</f>
        <v>67266.019959428566</v>
      </c>
      <c r="Q22" s="1166">
        <f>SUM(N22:P22)</f>
        <v>2814055.295497227</v>
      </c>
      <c r="R22" s="1237">
        <f>+'ข้อมูล ต.3-505,708,709ไป สนน.'!G22</f>
        <v>1</v>
      </c>
      <c r="S22" s="1238" t="str">
        <f>+'ข้อมูล ต.3-505,708,709ไป สนน.'!H22</f>
        <v>เรื่อง</v>
      </c>
      <c r="T22" s="1168">
        <f>+Q22/R22</f>
        <v>2814055.295497227</v>
      </c>
      <c r="U22" s="1169">
        <f t="shared" si="10"/>
        <v>-9.1112082499636529</v>
      </c>
      <c r="V22" s="1170">
        <f t="shared" si="10"/>
        <v>0</v>
      </c>
      <c r="W22" s="1171">
        <f>+T22/K22*100-100</f>
        <v>-9.1112082499636529</v>
      </c>
      <c r="AA22" s="1149">
        <v>502</v>
      </c>
      <c r="AB22" s="1150" t="s">
        <v>146</v>
      </c>
      <c r="AC22" s="1242">
        <v>1</v>
      </c>
      <c r="AD22" s="1152" t="s">
        <v>1</v>
      </c>
    </row>
    <row r="23" spans="1:30" s="741" customFormat="1" ht="30.75" customHeight="1" x14ac:dyDescent="0.2">
      <c r="A23" s="1240">
        <v>503</v>
      </c>
      <c r="B23" s="1172" t="s">
        <v>178</v>
      </c>
      <c r="C23" s="1173">
        <v>503</v>
      </c>
      <c r="D23" s="1173" t="s">
        <v>178</v>
      </c>
      <c r="E23" s="1241">
        <v>2827170.106010993</v>
      </c>
      <c r="F23" s="1157">
        <v>275759.44551161537</v>
      </c>
      <c r="G23" s="1158">
        <v>79795.248705428574</v>
      </c>
      <c r="H23" s="1159">
        <f t="shared" si="8"/>
        <v>3182724.8002280369</v>
      </c>
      <c r="I23" s="1160">
        <v>1</v>
      </c>
      <c r="J23" s="1161" t="s">
        <v>1</v>
      </c>
      <c r="K23" s="1162">
        <f>+H23/I23</f>
        <v>3182724.8002280369</v>
      </c>
      <c r="L23" s="1231">
        <f>+'ข้อมูล ต.3-505,708,709ไป สนน.'!A23</f>
        <v>503</v>
      </c>
      <c r="M23" s="1164" t="str">
        <f>+'ข้อมูล ต.3-505,708,709ไป สนน.'!B23</f>
        <v>เศรษฐกิจเกษตรพหุภาคี</v>
      </c>
      <c r="N23" s="1235">
        <f>+'ข้อมูล ต.3-505,708,709ไป สนน.'!C23</f>
        <v>2840330.0201063859</v>
      </c>
      <c r="O23" s="1235">
        <f>+'ข้อมูล ต.3-505,708,709ไป สนน.'!D23</f>
        <v>211152.76778411533</v>
      </c>
      <c r="P23" s="1235">
        <f>+'ข้อมูล ต.3-505,708,709ไป สนน.'!E23</f>
        <v>74727.648001285692</v>
      </c>
      <c r="Q23" s="1166">
        <f>SUM(N23:P23)</f>
        <v>3126210.4358917871</v>
      </c>
      <c r="R23" s="1237">
        <f>+'ข้อมูล ต.3-505,708,709ไป สนน.'!G23</f>
        <v>1</v>
      </c>
      <c r="S23" s="1238" t="str">
        <f>+'ข้อมูล ต.3-505,708,709ไป สนน.'!H23</f>
        <v>เรื่อง</v>
      </c>
      <c r="T23" s="1168">
        <f>+Q23/R23</f>
        <v>3126210.4358917871</v>
      </c>
      <c r="U23" s="1169">
        <f t="shared" si="10"/>
        <v>-1.7756597847291289</v>
      </c>
      <c r="V23" s="1170">
        <f t="shared" si="10"/>
        <v>0</v>
      </c>
      <c r="W23" s="1171">
        <f>+T23/K23*100-100</f>
        <v>-1.7756597847291289</v>
      </c>
      <c r="AA23" s="1149">
        <v>503</v>
      </c>
      <c r="AB23" s="1150" t="s">
        <v>178</v>
      </c>
      <c r="AC23" s="1242">
        <v>1</v>
      </c>
      <c r="AD23" s="1152" t="s">
        <v>1</v>
      </c>
    </row>
    <row r="24" spans="1:30" s="741" customFormat="1" ht="30.75" customHeight="1" thickBot="1" x14ac:dyDescent="0.25">
      <c r="A24" s="1243">
        <v>504</v>
      </c>
      <c r="B24" s="1183" t="s">
        <v>179</v>
      </c>
      <c r="C24" s="1184">
        <v>504</v>
      </c>
      <c r="D24" s="1184" t="s">
        <v>179</v>
      </c>
      <c r="E24" s="1244">
        <v>2674765.7827888378</v>
      </c>
      <c r="F24" s="1186">
        <v>260894.07480896148</v>
      </c>
      <c r="G24" s="1187">
        <v>75493.724418142854</v>
      </c>
      <c r="H24" s="1188">
        <f t="shared" si="8"/>
        <v>3011153.5820159419</v>
      </c>
      <c r="I24" s="1189">
        <v>1</v>
      </c>
      <c r="J24" s="1190" t="s">
        <v>1</v>
      </c>
      <c r="K24" s="1191">
        <f t="shared" si="9"/>
        <v>3011153.5820159419</v>
      </c>
      <c r="L24" s="1243">
        <f>+'ข้อมูล ต.3-505,708,709ไป สนน.'!A24</f>
        <v>504</v>
      </c>
      <c r="M24" s="1245" t="str">
        <f>+'ข้อมูล ต.3-505,708,709ไป สนน.'!B24</f>
        <v>องค์การการค้าโลก</v>
      </c>
      <c r="N24" s="1246">
        <f>+'ข้อมูล ต.3-505,708,709ไป สนน.'!C24</f>
        <v>3314423.8535667663</v>
      </c>
      <c r="O24" s="1246">
        <f>+'ข้อมูล ต.3-505,708,709ไป สนน.'!D24</f>
        <v>246397.34303273071</v>
      </c>
      <c r="P24" s="1246">
        <f>+'ข้อมูล ต.3-505,708,709ไป สนน.'!E24</f>
        <v>87200.817265285703</v>
      </c>
      <c r="Q24" s="1195">
        <f>SUM(N24:P24)</f>
        <v>3648022.0138647826</v>
      </c>
      <c r="R24" s="1247">
        <f>+'ข้อมูล ต.3-505,708,709ไป สนน.'!G24</f>
        <v>1</v>
      </c>
      <c r="S24" s="1248" t="str">
        <f>+'ข้อมูล ต.3-505,708,709ไป สนน.'!H24</f>
        <v>เรื่อง</v>
      </c>
      <c r="T24" s="1196">
        <f>+Q24/R24</f>
        <v>3648022.0138647826</v>
      </c>
      <c r="U24" s="1197">
        <f t="shared" si="10"/>
        <v>21.150313808386429</v>
      </c>
      <c r="V24" s="1198">
        <f t="shared" si="10"/>
        <v>0</v>
      </c>
      <c r="W24" s="1199">
        <f>+T24/K24*100-100</f>
        <v>21.150313808386429</v>
      </c>
      <c r="AA24" s="1149">
        <v>504</v>
      </c>
      <c r="AB24" s="1150" t="s">
        <v>179</v>
      </c>
      <c r="AC24" s="1151">
        <v>1</v>
      </c>
      <c r="AD24" s="1152" t="s">
        <v>1</v>
      </c>
    </row>
    <row r="25" spans="1:30" s="1129" customFormat="1" ht="29.25" customHeight="1" x14ac:dyDescent="0.2">
      <c r="A25" s="1113" t="s">
        <v>91</v>
      </c>
      <c r="B25" s="1114"/>
      <c r="C25" s="1115"/>
      <c r="D25" s="1115"/>
      <c r="E25" s="1229">
        <f>SUM(E26:E39)</f>
        <v>68665468.949999973</v>
      </c>
      <c r="F25" s="1117">
        <f t="shared" ref="F25:H25" si="11">SUM(F26:F39)</f>
        <v>5198731.6766809113</v>
      </c>
      <c r="G25" s="1117">
        <f t="shared" si="11"/>
        <v>1266717.5899999999</v>
      </c>
      <c r="H25" s="1117">
        <f t="shared" si="11"/>
        <v>75130918.216680899</v>
      </c>
      <c r="I25" s="1119"/>
      <c r="J25" s="1203"/>
      <c r="K25" s="1204"/>
      <c r="L25" s="1205" t="s">
        <v>91</v>
      </c>
      <c r="M25" s="1206"/>
      <c r="N25" s="1117">
        <f>SUM(N26:N39)</f>
        <v>67287759.800000027</v>
      </c>
      <c r="O25" s="1117">
        <f>SUM(O26:O39)</f>
        <v>3685613.8947008546</v>
      </c>
      <c r="P25" s="1117">
        <f>SUM(P26:P39)</f>
        <v>1640159.5799999996</v>
      </c>
      <c r="Q25" s="1117">
        <f>SUM(Q26:Q39)</f>
        <v>72613533.27470088</v>
      </c>
      <c r="R25" s="1123"/>
      <c r="S25" s="1124"/>
      <c r="T25" s="1249"/>
      <c r="U25" s="1209"/>
      <c r="V25" s="1211"/>
      <c r="W25" s="1250"/>
    </row>
    <row r="26" spans="1:30" s="741" customFormat="1" ht="45.75" customHeight="1" x14ac:dyDescent="0.2">
      <c r="A26" s="1231">
        <v>901</v>
      </c>
      <c r="B26" s="1232" t="s">
        <v>34</v>
      </c>
      <c r="C26" s="1233">
        <v>901</v>
      </c>
      <c r="D26" s="1233" t="s">
        <v>34</v>
      </c>
      <c r="E26" s="1251">
        <v>10684346.968619999</v>
      </c>
      <c r="F26" s="1134">
        <v>808922.64889154991</v>
      </c>
      <c r="G26" s="1135">
        <v>197101.25700400001</v>
      </c>
      <c r="H26" s="1136">
        <f t="shared" ref="H26:H38" si="12">SUM(E26:G26)</f>
        <v>11690370.874515548</v>
      </c>
      <c r="I26" s="1137">
        <v>7</v>
      </c>
      <c r="J26" s="1252" t="s">
        <v>7</v>
      </c>
      <c r="K26" s="1239">
        <f>+H26/I26</f>
        <v>1670052.9820736498</v>
      </c>
      <c r="L26" s="1231">
        <f>+'ข้อมูล ต.3-505,708,709ไป สนน.'!A27</f>
        <v>901</v>
      </c>
      <c r="M26" s="1164" t="str">
        <f>+'ข้อมูล ต.3-505,708,709ไป สนน.'!B27</f>
        <v>งานวิเคราะห์เศรษฐกิจพืชไร่นา****</v>
      </c>
      <c r="N26" s="1235">
        <f>+'ข้อมูล ต.3-505,708,709ไป สนน.'!C27</f>
        <v>10093163.970000003</v>
      </c>
      <c r="O26" s="1235">
        <f>+'ข้อมูล ต.3-505,708,709ไป สนน.'!D27</f>
        <v>552842.08420512814</v>
      </c>
      <c r="P26" s="1235">
        <f>+'ข้อมูล ต.3-505,708,709ไป สนน.'!E27</f>
        <v>246023.93700000001</v>
      </c>
      <c r="Q26" s="1236">
        <f t="shared" ref="Q26:Q39" si="13">SUM(N26:P26)</f>
        <v>10892029.991205132</v>
      </c>
      <c r="R26" s="1237">
        <f>+'ข้อมูล ต.3-505,708,709ไป สนน.'!G27</f>
        <v>7</v>
      </c>
      <c r="S26" s="1235" t="str">
        <f>+'ข้อมูล ต.3-505,708,709ไป สนน.'!H27</f>
        <v>สินค้า</v>
      </c>
      <c r="T26" s="1239">
        <f t="shared" ref="T26:T38" si="14">+Q26/R26</f>
        <v>1556004.2844578759</v>
      </c>
      <c r="U26" s="1146">
        <f t="shared" ref="U26:U38" si="15">+Q26/H26*100-100</f>
        <v>-6.8290466733674151</v>
      </c>
      <c r="V26" s="1148">
        <f t="shared" ref="V26:V38" si="16">+R26/I26*100-100</f>
        <v>0</v>
      </c>
      <c r="W26" s="1253">
        <f t="shared" ref="W26:W38" si="17">+T26/K26*100-100</f>
        <v>-6.8290466733674151</v>
      </c>
      <c r="AA26" s="1149">
        <v>901</v>
      </c>
      <c r="AB26" s="1150" t="s">
        <v>34</v>
      </c>
      <c r="AC26" s="1151">
        <v>6</v>
      </c>
      <c r="AD26" s="1152" t="s">
        <v>7</v>
      </c>
    </row>
    <row r="27" spans="1:30" s="741" customFormat="1" ht="33.75" customHeight="1" x14ac:dyDescent="0.2">
      <c r="A27" s="1240">
        <v>902</v>
      </c>
      <c r="B27" s="1172" t="s">
        <v>39</v>
      </c>
      <c r="C27" s="1173">
        <v>902</v>
      </c>
      <c r="D27" s="1173" t="s">
        <v>39</v>
      </c>
      <c r="E27" s="1241">
        <v>3920798.2770449989</v>
      </c>
      <c r="F27" s="1157">
        <v>296847.57873848005</v>
      </c>
      <c r="G27" s="1158">
        <v>72329.574389000001</v>
      </c>
      <c r="H27" s="1159">
        <f t="shared" si="12"/>
        <v>4289975.4301724797</v>
      </c>
      <c r="I27" s="1160">
        <v>2</v>
      </c>
      <c r="J27" s="1254" t="s">
        <v>1</v>
      </c>
      <c r="K27" s="1168">
        <f t="shared" ref="K27:K38" si="18">+H27/I27</f>
        <v>2144987.7150862399</v>
      </c>
      <c r="L27" s="1231">
        <f>+'ข้อมูล ต.3-505,708,709ไป สนน.'!A28</f>
        <v>902</v>
      </c>
      <c r="M27" s="1164" t="str">
        <f>+'ข้อมูล ต.3-505,708,709ไป สนน.'!B28</f>
        <v>งานวิจัยเศรษฐกิจพืชไร่นา</v>
      </c>
      <c r="N27" s="1235">
        <f>+'ข้อมูล ต.3-505,708,709ไป สนน.'!C28</f>
        <v>4144926.003680001</v>
      </c>
      <c r="O27" s="1235">
        <f>+'ข้อมูล ต.3-505,708,709ไป สนน.'!D28</f>
        <v>227033.81591357265</v>
      </c>
      <c r="P27" s="1235">
        <f>+'ข้อมูล ต.3-505,708,709ไป สนน.'!E28</f>
        <v>101033.83012799999</v>
      </c>
      <c r="Q27" s="1166">
        <f t="shared" si="13"/>
        <v>4472993.649721574</v>
      </c>
      <c r="R27" s="1237">
        <f>+'ข้อมูล ต.3-505,708,709ไป สนน.'!G28</f>
        <v>2</v>
      </c>
      <c r="S27" s="1235" t="str">
        <f>+'ข้อมูล ต.3-505,708,709ไป สนน.'!H28</f>
        <v>เรื่อง</v>
      </c>
      <c r="T27" s="1168">
        <f t="shared" si="14"/>
        <v>2236496.824860787</v>
      </c>
      <c r="U27" s="1169">
        <f t="shared" si="15"/>
        <v>4.2661833972726555</v>
      </c>
      <c r="V27" s="1171">
        <f t="shared" si="16"/>
        <v>0</v>
      </c>
      <c r="W27" s="1255">
        <f t="shared" si="17"/>
        <v>4.2661833972726555</v>
      </c>
      <c r="AA27" s="1149">
        <v>902</v>
      </c>
      <c r="AB27" s="1150" t="s">
        <v>39</v>
      </c>
      <c r="AC27" s="1151">
        <v>2</v>
      </c>
      <c r="AD27" s="1152" t="s">
        <v>1</v>
      </c>
    </row>
    <row r="28" spans="1:30" s="741" customFormat="1" ht="43.5" x14ac:dyDescent="0.2">
      <c r="A28" s="1240">
        <v>903</v>
      </c>
      <c r="B28" s="1172" t="s">
        <v>35</v>
      </c>
      <c r="C28" s="1173">
        <v>903</v>
      </c>
      <c r="D28" s="1173" t="s">
        <v>35</v>
      </c>
      <c r="E28" s="1241">
        <v>6111226.7365499996</v>
      </c>
      <c r="F28" s="1157">
        <v>462687.11922460108</v>
      </c>
      <c r="G28" s="1158">
        <v>112737.86551</v>
      </c>
      <c r="H28" s="1159">
        <f t="shared" si="12"/>
        <v>6686651.7212846009</v>
      </c>
      <c r="I28" s="1160">
        <v>4</v>
      </c>
      <c r="J28" s="1254" t="s">
        <v>7</v>
      </c>
      <c r="K28" s="1168">
        <f t="shared" si="18"/>
        <v>1671662.9303211502</v>
      </c>
      <c r="L28" s="1231">
        <f>+'ข้อมูล ต.3-505,708,709ไป สนน.'!A29</f>
        <v>903</v>
      </c>
      <c r="M28" s="1164" t="str">
        <f>+'ข้อมูล ต.3-505,708,709ไป สนน.'!B29</f>
        <v>งานวิเคราะห์เศรษฐกิจพืชสวน***</v>
      </c>
      <c r="N28" s="1235">
        <f>+'ข้อมูล ต.3-505,708,709ไป สนน.'!C29</f>
        <v>5766561.0148600014</v>
      </c>
      <c r="O28" s="1235">
        <f>+'ข้อมูล ต.3-505,708,709ไป สนน.'!D29</f>
        <v>315857.11077586323</v>
      </c>
      <c r="P28" s="1235">
        <f>+'ข้อมูล ต.3-505,708,709ไป สนน.'!E29</f>
        <v>140561.67600599999</v>
      </c>
      <c r="Q28" s="1166">
        <f t="shared" si="13"/>
        <v>6222979.8016418638</v>
      </c>
      <c r="R28" s="1237">
        <f>+'ข้อมูล ต.3-505,708,709ไป สนน.'!G29</f>
        <v>4</v>
      </c>
      <c r="S28" s="1235" t="str">
        <f>+'ข้อมูล ต.3-505,708,709ไป สนน.'!H29</f>
        <v>สินค้า</v>
      </c>
      <c r="T28" s="1168">
        <f t="shared" si="14"/>
        <v>1555744.9504104659</v>
      </c>
      <c r="U28" s="1169">
        <f t="shared" si="15"/>
        <v>-6.9342914655895811</v>
      </c>
      <c r="V28" s="1171">
        <f t="shared" si="16"/>
        <v>0</v>
      </c>
      <c r="W28" s="1255">
        <f t="shared" si="17"/>
        <v>-6.9342914655895811</v>
      </c>
      <c r="AA28" s="1149">
        <v>903</v>
      </c>
      <c r="AB28" s="1150" t="s">
        <v>35</v>
      </c>
      <c r="AC28" s="1151">
        <v>4</v>
      </c>
      <c r="AD28" s="1152" t="s">
        <v>7</v>
      </c>
    </row>
    <row r="29" spans="1:30" s="741" customFormat="1" ht="32.25" customHeight="1" x14ac:dyDescent="0.2">
      <c r="A29" s="1240">
        <v>904</v>
      </c>
      <c r="B29" s="1172" t="s">
        <v>40</v>
      </c>
      <c r="C29" s="1173">
        <v>904</v>
      </c>
      <c r="D29" s="1173" t="s">
        <v>40</v>
      </c>
      <c r="E29" s="1241">
        <v>5877764.142119999</v>
      </c>
      <c r="F29" s="1157">
        <v>445011.43152388604</v>
      </c>
      <c r="G29" s="1158">
        <v>108431.02570400001</v>
      </c>
      <c r="H29" s="1159">
        <f t="shared" si="12"/>
        <v>6431206.5993478857</v>
      </c>
      <c r="I29" s="1160">
        <v>3</v>
      </c>
      <c r="J29" s="1254" t="s">
        <v>1</v>
      </c>
      <c r="K29" s="1168">
        <f t="shared" si="18"/>
        <v>2143735.5331159621</v>
      </c>
      <c r="L29" s="1231">
        <f>+'ข้อมูล ต.3-505,708,709ไป สนน.'!A30</f>
        <v>904</v>
      </c>
      <c r="M29" s="1164" t="str">
        <f>+'ข้อมูล ต.3-505,708,709ไป สนน.'!B30</f>
        <v>งานวิจัยเศรษฐกิจพืชสวน</v>
      </c>
      <c r="N29" s="1235">
        <f>+'ข้อมูล ต.3-505,708,709ไป สนน.'!C30</f>
        <v>6210660.2295400016</v>
      </c>
      <c r="O29" s="1235">
        <f>+'ข้อมูล ต.3-505,708,709ไป สนน.'!D30</f>
        <v>340182.16248088889</v>
      </c>
      <c r="P29" s="1235">
        <f>+'ข้อมูล ต.3-505,708,709ไป สนน.'!E30</f>
        <v>151386.729234</v>
      </c>
      <c r="Q29" s="1166">
        <f t="shared" si="13"/>
        <v>6702229.1212548902</v>
      </c>
      <c r="R29" s="1237">
        <f>+'ข้อมูล ต.3-505,708,709ไป สนน.'!G30</f>
        <v>3</v>
      </c>
      <c r="S29" s="1235" t="str">
        <f>+'ข้อมูล ต.3-505,708,709ไป สนน.'!H30</f>
        <v>เรื่อง</v>
      </c>
      <c r="T29" s="1168">
        <f t="shared" si="14"/>
        <v>2234076.3737516301</v>
      </c>
      <c r="U29" s="1169">
        <f t="shared" si="15"/>
        <v>4.2141784394624295</v>
      </c>
      <c r="V29" s="1171">
        <f t="shared" si="16"/>
        <v>0</v>
      </c>
      <c r="W29" s="1255">
        <f t="shared" si="17"/>
        <v>4.2141784394624295</v>
      </c>
      <c r="AA29" s="1149">
        <v>904</v>
      </c>
      <c r="AB29" s="1150" t="s">
        <v>40</v>
      </c>
      <c r="AC29" s="1151">
        <v>2</v>
      </c>
      <c r="AD29" s="1152" t="s">
        <v>1</v>
      </c>
    </row>
    <row r="30" spans="1:30" s="741" customFormat="1" ht="47.25" customHeight="1" x14ac:dyDescent="0.2">
      <c r="A30" s="1240">
        <v>905</v>
      </c>
      <c r="B30" s="1172" t="s">
        <v>36</v>
      </c>
      <c r="C30" s="1173">
        <v>905</v>
      </c>
      <c r="D30" s="1173" t="s">
        <v>36</v>
      </c>
      <c r="E30" s="1241">
        <v>10684346.968619999</v>
      </c>
      <c r="F30" s="1157">
        <v>808922.64889154991</v>
      </c>
      <c r="G30" s="1158">
        <v>197101.25700400001</v>
      </c>
      <c r="H30" s="1159">
        <f t="shared" si="12"/>
        <v>11690370.874515548</v>
      </c>
      <c r="I30" s="1160">
        <v>7</v>
      </c>
      <c r="J30" s="1254" t="s">
        <v>7</v>
      </c>
      <c r="K30" s="1168">
        <f t="shared" si="18"/>
        <v>1670052.9820736498</v>
      </c>
      <c r="L30" s="1231">
        <f>+'ข้อมูล ต.3-505,708,709ไป สนน.'!A31</f>
        <v>905</v>
      </c>
      <c r="M30" s="1164" t="str">
        <f>+'ข้อมูล ต.3-505,708,709ไป สนน.'!B31</f>
        <v>งานวิเคราะห์เศรษฐกิจปศุสัตว์และประมง***</v>
      </c>
      <c r="N30" s="1235">
        <f>+'ข้อมูล ต.3-505,708,709ไป สนน.'!C31</f>
        <v>10093163.970000003</v>
      </c>
      <c r="O30" s="1235">
        <f>+'ข้อมูล ต.3-505,708,709ไป สนน.'!D31</f>
        <v>552842.08420512814</v>
      </c>
      <c r="P30" s="1235">
        <f>+'ข้อมูล ต.3-505,708,709ไป สนน.'!E31</f>
        <v>246023.93700000001</v>
      </c>
      <c r="Q30" s="1166">
        <f t="shared" si="13"/>
        <v>10892029.991205132</v>
      </c>
      <c r="R30" s="1237">
        <f>+'ข้อมูล ต.3-505,708,709ไป สนน.'!G31</f>
        <v>7</v>
      </c>
      <c r="S30" s="1235" t="str">
        <f>+'ข้อมูล ต.3-505,708,709ไป สนน.'!H31</f>
        <v>สินค้า</v>
      </c>
      <c r="T30" s="1168">
        <f t="shared" si="14"/>
        <v>1556004.2844578759</v>
      </c>
      <c r="U30" s="1169">
        <f t="shared" si="15"/>
        <v>-6.8290466733674151</v>
      </c>
      <c r="V30" s="1171">
        <f t="shared" si="16"/>
        <v>0</v>
      </c>
      <c r="W30" s="1255">
        <f t="shared" si="17"/>
        <v>-6.8290466733674151</v>
      </c>
      <c r="AA30" s="1149">
        <v>905</v>
      </c>
      <c r="AB30" s="1150" t="s">
        <v>36</v>
      </c>
      <c r="AC30" s="1151">
        <v>7</v>
      </c>
      <c r="AD30" s="1152" t="s">
        <v>7</v>
      </c>
    </row>
    <row r="31" spans="1:30" s="741" customFormat="1" ht="45" customHeight="1" x14ac:dyDescent="0.2">
      <c r="A31" s="1240">
        <v>906</v>
      </c>
      <c r="B31" s="1172" t="s">
        <v>41</v>
      </c>
      <c r="C31" s="1173">
        <v>906</v>
      </c>
      <c r="D31" s="1173" t="s">
        <v>41</v>
      </c>
      <c r="E31" s="1241">
        <v>3920798.2770449989</v>
      </c>
      <c r="F31" s="1157">
        <v>296847.57873848005</v>
      </c>
      <c r="G31" s="1158">
        <v>72329.574389000001</v>
      </c>
      <c r="H31" s="1159">
        <f t="shared" si="12"/>
        <v>4289975.4301724797</v>
      </c>
      <c r="I31" s="1160">
        <v>2</v>
      </c>
      <c r="J31" s="1254" t="s">
        <v>1</v>
      </c>
      <c r="K31" s="1168">
        <f t="shared" si="18"/>
        <v>2144987.7150862399</v>
      </c>
      <c r="L31" s="1231">
        <f>+'ข้อมูล ต.3-505,708,709ไป สนน.'!A32</f>
        <v>906</v>
      </c>
      <c r="M31" s="1164" t="str">
        <f>+'ข้อมูล ต.3-505,708,709ไป สนน.'!B32</f>
        <v>งานวิจัยเศรษฐกิจปศุสัตว์และประมง</v>
      </c>
      <c r="N31" s="1235">
        <f>+'ข้อมูล ต.3-505,708,709ไป สนน.'!C32</f>
        <v>4138197.2277000011</v>
      </c>
      <c r="O31" s="1235">
        <f>+'ข้อมูล ต.3-505,708,709ไป สนน.'!D32</f>
        <v>226665.25452410258</v>
      </c>
      <c r="P31" s="1235">
        <f>+'ข้อมูล ต.3-505,708,709ไป สนน.'!E32</f>
        <v>100869.81417</v>
      </c>
      <c r="Q31" s="1166">
        <f t="shared" si="13"/>
        <v>4465732.2963941041</v>
      </c>
      <c r="R31" s="1237">
        <f>+'ข้อมูล ต.3-505,708,709ไป สนน.'!G32</f>
        <v>2</v>
      </c>
      <c r="S31" s="1235" t="str">
        <f>+'ข้อมูล ต.3-505,708,709ไป สนน.'!H32</f>
        <v>เรื่อง</v>
      </c>
      <c r="T31" s="1168">
        <f t="shared" si="14"/>
        <v>2232866.1481970521</v>
      </c>
      <c r="U31" s="1169">
        <f t="shared" si="15"/>
        <v>4.0969201125368215</v>
      </c>
      <c r="V31" s="1171">
        <f t="shared" si="16"/>
        <v>0</v>
      </c>
      <c r="W31" s="1255">
        <f t="shared" si="17"/>
        <v>4.0969201125368215</v>
      </c>
      <c r="AA31" s="1149">
        <v>906</v>
      </c>
      <c r="AB31" s="1150" t="s">
        <v>41</v>
      </c>
      <c r="AC31" s="1151">
        <v>2</v>
      </c>
      <c r="AD31" s="1152" t="s">
        <v>1</v>
      </c>
    </row>
    <row r="32" spans="1:30" s="741" customFormat="1" ht="30.75" customHeight="1" x14ac:dyDescent="0.2">
      <c r="A32" s="1240">
        <v>907</v>
      </c>
      <c r="B32" s="1172" t="s">
        <v>37</v>
      </c>
      <c r="C32" s="1173">
        <v>907</v>
      </c>
      <c r="D32" s="1173" t="s">
        <v>37</v>
      </c>
      <c r="E32" s="1241">
        <v>3048746.8213799996</v>
      </c>
      <c r="F32" s="1157">
        <v>230823.68644463248</v>
      </c>
      <c r="G32" s="1158">
        <v>56242.260996000012</v>
      </c>
      <c r="H32" s="1159">
        <f t="shared" si="12"/>
        <v>3335812.7688206322</v>
      </c>
      <c r="I32" s="1160">
        <v>2</v>
      </c>
      <c r="J32" s="1254" t="s">
        <v>7</v>
      </c>
      <c r="K32" s="1168">
        <f t="shared" si="18"/>
        <v>1667906.3844103161</v>
      </c>
      <c r="L32" s="1231">
        <f>+'ข้อมูล ต.3-505,708,709ไป สนน.'!A33</f>
        <v>907</v>
      </c>
      <c r="M32" s="1164" t="str">
        <f>+'ข้อมูล ต.3-505,708,709ไป สนน.'!B33</f>
        <v>งานวิเคราะห์ปัจจัยการผลิต***</v>
      </c>
      <c r="N32" s="1235">
        <f>+'ข้อมูล ต.3-505,708,709ไป สนน.'!C33</f>
        <v>2886644.8954200004</v>
      </c>
      <c r="O32" s="1235">
        <f>+'ข้อมูล ต.3-505,708,709ไป สนน.'!D33</f>
        <v>158112.83608266668</v>
      </c>
      <c r="P32" s="1235">
        <f>+'ข้อมูล ต.3-505,708,709ไป สนน.'!E33</f>
        <v>70362.845981999984</v>
      </c>
      <c r="Q32" s="1166">
        <f t="shared" si="13"/>
        <v>3115120.5774846668</v>
      </c>
      <c r="R32" s="1237">
        <f>+'ข้อมูล ต.3-505,708,709ไป สนน.'!G33</f>
        <v>2</v>
      </c>
      <c r="S32" s="1235" t="str">
        <f>+'ข้อมูล ต.3-505,708,709ไป สนน.'!H33</f>
        <v>สินค้า</v>
      </c>
      <c r="T32" s="1168">
        <f t="shared" si="14"/>
        <v>1557560.2887423334</v>
      </c>
      <c r="U32" s="1169">
        <f t="shared" si="15"/>
        <v>-6.6158446720614563</v>
      </c>
      <c r="V32" s="1171">
        <f t="shared" si="16"/>
        <v>0</v>
      </c>
      <c r="W32" s="1255">
        <f t="shared" si="17"/>
        <v>-6.6158446720614563</v>
      </c>
      <c r="AA32" s="1149">
        <v>907</v>
      </c>
      <c r="AB32" s="1150" t="s">
        <v>37</v>
      </c>
      <c r="AC32" s="1151">
        <v>2</v>
      </c>
      <c r="AD32" s="1152" t="s">
        <v>7</v>
      </c>
    </row>
    <row r="33" spans="1:30" s="741" customFormat="1" ht="48" customHeight="1" x14ac:dyDescent="0.2">
      <c r="A33" s="1240">
        <v>908</v>
      </c>
      <c r="B33" s="1172" t="s">
        <v>42</v>
      </c>
      <c r="C33" s="1173">
        <v>908</v>
      </c>
      <c r="D33" s="1173" t="s">
        <v>42</v>
      </c>
      <c r="E33" s="1241">
        <v>3920798.2770449989</v>
      </c>
      <c r="F33" s="1157">
        <v>296847.57873848005</v>
      </c>
      <c r="G33" s="1158">
        <v>72329.574389000001</v>
      </c>
      <c r="H33" s="1159">
        <f t="shared" si="12"/>
        <v>4289975.4301724797</v>
      </c>
      <c r="I33" s="1160">
        <v>2</v>
      </c>
      <c r="J33" s="1254" t="s">
        <v>1</v>
      </c>
      <c r="K33" s="1168">
        <f t="shared" si="18"/>
        <v>2144987.7150862399</v>
      </c>
      <c r="L33" s="1231">
        <f>+'ข้อมูล ต.3-505,708,709ไป สนน.'!A34</f>
        <v>908</v>
      </c>
      <c r="M33" s="1164" t="str">
        <f>+'ข้อมูล ต.3-505,708,709ไป สนน.'!B34</f>
        <v>งานวิจัยเศรษฐกิจเทคโนโลยีและปัจจัยทางการเกษตร</v>
      </c>
      <c r="N33" s="1235">
        <f>+'ข้อมูล ต.3-505,708,709ไป สนน.'!C34</f>
        <v>4138197.2277000011</v>
      </c>
      <c r="O33" s="1235">
        <f>+'ข้อมูล ต.3-505,708,709ไป สนน.'!D34</f>
        <v>226665.25452410258</v>
      </c>
      <c r="P33" s="1235">
        <f>+'ข้อมูล ต.3-505,708,709ไป สนน.'!E34</f>
        <v>100869.81417</v>
      </c>
      <c r="Q33" s="1166">
        <f t="shared" si="13"/>
        <v>4465732.2963941041</v>
      </c>
      <c r="R33" s="1237">
        <f>+'ข้อมูล ต.3-505,708,709ไป สนน.'!G34</f>
        <v>2</v>
      </c>
      <c r="S33" s="1235" t="str">
        <f>+'ข้อมูล ต.3-505,708,709ไป สนน.'!H34</f>
        <v>เรื่อง</v>
      </c>
      <c r="T33" s="1168">
        <f t="shared" si="14"/>
        <v>2232866.1481970521</v>
      </c>
      <c r="U33" s="1169">
        <f t="shared" si="15"/>
        <v>4.0969201125368215</v>
      </c>
      <c r="V33" s="1171">
        <f t="shared" si="16"/>
        <v>0</v>
      </c>
      <c r="W33" s="1255">
        <f t="shared" si="17"/>
        <v>4.0969201125368215</v>
      </c>
      <c r="AA33" s="1149">
        <v>908</v>
      </c>
      <c r="AB33" s="1150" t="s">
        <v>42</v>
      </c>
      <c r="AC33" s="1151">
        <v>2</v>
      </c>
      <c r="AD33" s="1152" t="s">
        <v>1</v>
      </c>
    </row>
    <row r="34" spans="1:30" s="741" customFormat="1" ht="42.75" customHeight="1" x14ac:dyDescent="0.2">
      <c r="A34" s="1240">
        <v>909</v>
      </c>
      <c r="B34" s="1172" t="s">
        <v>38</v>
      </c>
      <c r="C34" s="1173">
        <v>909</v>
      </c>
      <c r="D34" s="1173" t="s">
        <v>38</v>
      </c>
      <c r="E34" s="1241">
        <v>6111226.7365499996</v>
      </c>
      <c r="F34" s="1157">
        <v>462687.11922460108</v>
      </c>
      <c r="G34" s="1158">
        <v>112737.86551</v>
      </c>
      <c r="H34" s="1159">
        <f t="shared" si="12"/>
        <v>6686651.7212846009</v>
      </c>
      <c r="I34" s="1160">
        <v>4</v>
      </c>
      <c r="J34" s="1254" t="s">
        <v>1</v>
      </c>
      <c r="K34" s="1168">
        <f t="shared" si="18"/>
        <v>1671662.9303211502</v>
      </c>
      <c r="L34" s="1231">
        <f>+'ข้อมูล ต.3-505,708,709ไป สนน.'!A35</f>
        <v>909</v>
      </c>
      <c r="M34" s="1164" t="str">
        <f>+'ข้อมูล ต.3-505,708,709ไป สนน.'!B35</f>
        <v>งานวิเคราะห์มาตรการความช่วยเหลือเกษตรกร***</v>
      </c>
      <c r="N34" s="1235">
        <f>+'ข้อมูล ต.3-505,708,709ไป สนน.'!C35</f>
        <v>5766561.0148600014</v>
      </c>
      <c r="O34" s="1235">
        <f>+'ข้อมูล ต.3-505,708,709ไป สนน.'!D35</f>
        <v>315857.11077586323</v>
      </c>
      <c r="P34" s="1235">
        <f>+'ข้อมูล ต.3-505,708,709ไป สนน.'!E35</f>
        <v>140561.67600599999</v>
      </c>
      <c r="Q34" s="1166">
        <f t="shared" si="13"/>
        <v>6222979.8016418638</v>
      </c>
      <c r="R34" s="1237">
        <f>+'ข้อมูล ต.3-505,708,709ไป สนน.'!G35</f>
        <v>4</v>
      </c>
      <c r="S34" s="1235" t="str">
        <f>+'ข้อมูล ต.3-505,708,709ไป สนน.'!H35</f>
        <v>เรื่อง</v>
      </c>
      <c r="T34" s="1168">
        <f t="shared" si="14"/>
        <v>1555744.9504104659</v>
      </c>
      <c r="U34" s="1169">
        <f t="shared" si="15"/>
        <v>-6.9342914655895811</v>
      </c>
      <c r="V34" s="1171">
        <f t="shared" si="16"/>
        <v>0</v>
      </c>
      <c r="W34" s="1255">
        <f t="shared" si="17"/>
        <v>-6.9342914655895811</v>
      </c>
      <c r="AA34" s="1149">
        <v>909</v>
      </c>
      <c r="AB34" s="1150" t="s">
        <v>38</v>
      </c>
      <c r="AC34" s="1151">
        <v>6</v>
      </c>
      <c r="AD34" s="1152" t="s">
        <v>1</v>
      </c>
    </row>
    <row r="35" spans="1:30" s="741" customFormat="1" ht="43.5" x14ac:dyDescent="0.2">
      <c r="A35" s="1240">
        <v>910</v>
      </c>
      <c r="B35" s="1256" t="s">
        <v>415</v>
      </c>
      <c r="C35" s="1257">
        <v>910</v>
      </c>
      <c r="D35" s="1257" t="s">
        <v>150</v>
      </c>
      <c r="E35" s="1241">
        <v>3920798.2770449989</v>
      </c>
      <c r="F35" s="1157">
        <v>296847.57873848005</v>
      </c>
      <c r="G35" s="1158">
        <v>72329.574389000001</v>
      </c>
      <c r="H35" s="1159">
        <f t="shared" si="12"/>
        <v>4289975.4301724797</v>
      </c>
      <c r="I35" s="1160">
        <v>2</v>
      </c>
      <c r="J35" s="1254" t="s">
        <v>1</v>
      </c>
      <c r="K35" s="1168">
        <f t="shared" si="18"/>
        <v>2144987.7150862399</v>
      </c>
      <c r="L35" s="1231">
        <f>+'ข้อมูล ต.3-505,708,709ไป สนน.'!A36</f>
        <v>910</v>
      </c>
      <c r="M35" s="1164" t="str">
        <f>+'ข้อมูล ต.3-505,708,709ไป สนน.'!B36</f>
        <v>งานวิจัยภาวะเศรษฐกิจสังคมครัวเรือนเกษตร</v>
      </c>
      <c r="N35" s="1235">
        <f>+'ข้อมูล ต.3-505,708,709ไป สนน.'!C36</f>
        <v>2072463.0018400005</v>
      </c>
      <c r="O35" s="1235">
        <f>+'ข้อมูล ต.3-505,708,709ไป สนน.'!D36</f>
        <v>113516.90795678632</v>
      </c>
      <c r="P35" s="1235">
        <f>+'ข้อมูล ต.3-505,708,709ไป สนน.'!E36</f>
        <v>50516.915063999993</v>
      </c>
      <c r="Q35" s="1166">
        <f t="shared" si="13"/>
        <v>2236496.824860787</v>
      </c>
      <c r="R35" s="1237">
        <f>+'ข้อมูล ต.3-505,708,709ไป สนน.'!G36</f>
        <v>1</v>
      </c>
      <c r="S35" s="1235" t="str">
        <f>+'ข้อมูล ต.3-505,708,709ไป สนน.'!H36</f>
        <v>เรื่อง</v>
      </c>
      <c r="T35" s="1168">
        <f t="shared" si="14"/>
        <v>2236496.824860787</v>
      </c>
      <c r="U35" s="1169">
        <f t="shared" si="15"/>
        <v>-47.866908301363672</v>
      </c>
      <c r="V35" s="1171">
        <f t="shared" si="16"/>
        <v>-50</v>
      </c>
      <c r="W35" s="1255">
        <f t="shared" si="17"/>
        <v>4.2661833972726555</v>
      </c>
      <c r="AA35" s="1149">
        <v>910</v>
      </c>
      <c r="AB35" s="1150" t="s">
        <v>150</v>
      </c>
      <c r="AC35" s="1151">
        <v>3</v>
      </c>
      <c r="AD35" s="1152" t="s">
        <v>1</v>
      </c>
    </row>
    <row r="36" spans="1:30" s="741" customFormat="1" ht="48.75" customHeight="1" x14ac:dyDescent="0.2">
      <c r="A36" s="1240">
        <v>911</v>
      </c>
      <c r="B36" s="1172" t="s">
        <v>180</v>
      </c>
      <c r="C36" s="1173">
        <v>911</v>
      </c>
      <c r="D36" s="1173" t="s">
        <v>180</v>
      </c>
      <c r="E36" s="1241">
        <v>4579986.7789649991</v>
      </c>
      <c r="F36" s="1157">
        <v>346755.40283461678</v>
      </c>
      <c r="G36" s="1158">
        <v>84490.063253</v>
      </c>
      <c r="H36" s="1159">
        <f t="shared" si="12"/>
        <v>5011232.2450526161</v>
      </c>
      <c r="I36" s="1160">
        <v>3</v>
      </c>
      <c r="J36" s="1254" t="s">
        <v>7</v>
      </c>
      <c r="K36" s="1168">
        <f t="shared" si="18"/>
        <v>1670410.748350872</v>
      </c>
      <c r="L36" s="1231">
        <f>+'ข้อมูล ต.3-505,708,709ไป สนน.'!A37</f>
        <v>911</v>
      </c>
      <c r="M36" s="1164" t="str">
        <f>+'ข้อมูล ต.3-505,708,709ไป สนน.'!B37</f>
        <v>งานวิเคราะห์เศรษฐกิจพืชอาหารและพลังงานทดแทน***</v>
      </c>
      <c r="N36" s="1235">
        <f>+'ข้อมูล ต.3-505,708,709ไป สนน.'!C37</f>
        <v>4326602.9551400002</v>
      </c>
      <c r="O36" s="1235">
        <f>+'ข้อมูล ต.3-505,708,709ไป สนน.'!D37</f>
        <v>236984.97342926494</v>
      </c>
      <c r="P36" s="1235">
        <f>+'ข้อมูล ต.3-505,708,709ไป สนน.'!E37</f>
        <v>105462.26099399998</v>
      </c>
      <c r="Q36" s="1166">
        <f t="shared" si="13"/>
        <v>4669050.1895632651</v>
      </c>
      <c r="R36" s="1237">
        <f>+'ข้อมูล ต.3-505,708,709ไป สนน.'!G37</f>
        <v>3</v>
      </c>
      <c r="S36" s="1235" t="str">
        <f>+'ข้อมูล ต.3-505,708,709ไป สนน.'!H37</f>
        <v>สินค้า</v>
      </c>
      <c r="T36" s="1168">
        <f t="shared" si="14"/>
        <v>1556350.0631877549</v>
      </c>
      <c r="U36" s="1169">
        <f t="shared" si="15"/>
        <v>-6.8283016782383896</v>
      </c>
      <c r="V36" s="1171">
        <f t="shared" si="16"/>
        <v>0</v>
      </c>
      <c r="W36" s="1255">
        <f t="shared" si="17"/>
        <v>-6.8283016782383896</v>
      </c>
      <c r="AA36" s="1258">
        <v>911</v>
      </c>
      <c r="AB36" s="1150" t="s">
        <v>180</v>
      </c>
      <c r="AC36" s="1151">
        <v>4</v>
      </c>
      <c r="AD36" s="1152" t="s">
        <v>7</v>
      </c>
    </row>
    <row r="37" spans="1:30" s="741" customFormat="1" ht="49.5" customHeight="1" x14ac:dyDescent="0.2">
      <c r="A37" s="1240">
        <v>912</v>
      </c>
      <c r="B37" s="1172" t="s">
        <v>181</v>
      </c>
      <c r="C37" s="1173">
        <v>912</v>
      </c>
      <c r="D37" s="1173" t="s">
        <v>181</v>
      </c>
      <c r="E37" s="1259">
        <v>1963832.4119699998</v>
      </c>
      <c r="F37" s="1260">
        <v>148683.72595307406</v>
      </c>
      <c r="G37" s="1260">
        <v>36228.123074000003</v>
      </c>
      <c r="H37" s="1159">
        <f t="shared" si="12"/>
        <v>2148744.2609970737</v>
      </c>
      <c r="I37" s="1160">
        <v>1</v>
      </c>
      <c r="J37" s="1254" t="s">
        <v>1</v>
      </c>
      <c r="K37" s="1168">
        <f t="shared" si="18"/>
        <v>2148744.2609970737</v>
      </c>
      <c r="L37" s="1231">
        <f>+'ข้อมูล ต.3-505,708,709ไป สนน.'!A38</f>
        <v>912</v>
      </c>
      <c r="M37" s="1164" t="str">
        <f>+'ข้อมูล ต.3-505,708,709ไป สนน.'!B38</f>
        <v>งานวิจัยเศรษฐกิจพืชอาหารและพลังงานทดแทน</v>
      </c>
      <c r="N37" s="1235">
        <f>+'ข้อมูล ต.3-505,708,709ไป สนน.'!C38</f>
        <v>2072463.0018400005</v>
      </c>
      <c r="O37" s="1235">
        <f>+'ข้อมูล ต.3-505,708,709ไป สนน.'!D38</f>
        <v>113516.90795678632</v>
      </c>
      <c r="P37" s="1235">
        <f>+'ข้อมูล ต.3-505,708,709ไป สนน.'!E38</f>
        <v>50516.915063999993</v>
      </c>
      <c r="Q37" s="1166">
        <f t="shared" si="13"/>
        <v>2236496.824860787</v>
      </c>
      <c r="R37" s="1237">
        <f>+'ข้อมูล ต.3-505,708,709ไป สนน.'!G38</f>
        <v>1</v>
      </c>
      <c r="S37" s="1235" t="str">
        <f>+'ข้อมูล ต.3-505,708,709ไป สนน.'!H38</f>
        <v>เรื่อง</v>
      </c>
      <c r="T37" s="1168">
        <f t="shared" si="14"/>
        <v>2236496.824860787</v>
      </c>
      <c r="U37" s="1169">
        <f t="shared" si="15"/>
        <v>4.0838998598648431</v>
      </c>
      <c r="V37" s="1171">
        <f t="shared" si="16"/>
        <v>0</v>
      </c>
      <c r="W37" s="1255">
        <f t="shared" si="17"/>
        <v>4.0838998598648431</v>
      </c>
      <c r="AA37" s="1258">
        <v>912</v>
      </c>
      <c r="AB37" s="1150" t="s">
        <v>181</v>
      </c>
      <c r="AC37" s="1151">
        <v>3</v>
      </c>
      <c r="AD37" s="1152" t="s">
        <v>1</v>
      </c>
    </row>
    <row r="38" spans="1:30" s="741" customFormat="1" ht="53.25" customHeight="1" thickBot="1" x14ac:dyDescent="0.25">
      <c r="A38" s="1240">
        <v>913</v>
      </c>
      <c r="B38" s="1172" t="s">
        <v>182</v>
      </c>
      <c r="C38" s="1173">
        <v>913</v>
      </c>
      <c r="D38" s="1173" t="s">
        <v>182</v>
      </c>
      <c r="E38" s="1241">
        <v>3920798.2770449989</v>
      </c>
      <c r="F38" s="1157">
        <v>296847.57873848005</v>
      </c>
      <c r="G38" s="1158">
        <v>72329.574389000001</v>
      </c>
      <c r="H38" s="1159">
        <f t="shared" si="12"/>
        <v>4289975.4301724797</v>
      </c>
      <c r="I38" s="1160">
        <v>2</v>
      </c>
      <c r="J38" s="1254" t="s">
        <v>1</v>
      </c>
      <c r="K38" s="1168">
        <f t="shared" si="18"/>
        <v>2144987.7150862399</v>
      </c>
      <c r="L38" s="1231">
        <f>+'ข้อมูล ต.3-505,708,709ไป สนน.'!A39</f>
        <v>913</v>
      </c>
      <c r="M38" s="1164" t="str">
        <f>+'ข้อมูล ต.3-505,708,709ไป สนน.'!B39</f>
        <v>งานวิเคราะห์วิจัยเศรษฐกิจทรัพยากรการเกษตร***</v>
      </c>
      <c r="N38" s="1235">
        <f>+'ข้อมูล ต.3-505,708,709ไป สนน.'!C39</f>
        <v>4138197.2277000011</v>
      </c>
      <c r="O38" s="1235">
        <f>+'ข้อมูล ต.3-505,708,709ไป สนน.'!D39</f>
        <v>226665.25452410258</v>
      </c>
      <c r="P38" s="1235">
        <f>+'ข้อมูล ต.3-505,708,709ไป สนน.'!E39</f>
        <v>100869.81417</v>
      </c>
      <c r="Q38" s="1166">
        <f t="shared" si="13"/>
        <v>4465732.2963941041</v>
      </c>
      <c r="R38" s="1237">
        <f>+'ข้อมูล ต.3-505,708,709ไป สนน.'!G39</f>
        <v>2</v>
      </c>
      <c r="S38" s="1235" t="str">
        <f>+'ข้อมูล ต.3-505,708,709ไป สนน.'!H39</f>
        <v>เรื่อง</v>
      </c>
      <c r="T38" s="1168">
        <f t="shared" si="14"/>
        <v>2232866.1481970521</v>
      </c>
      <c r="U38" s="1169">
        <f t="shared" si="15"/>
        <v>4.0969201125368215</v>
      </c>
      <c r="V38" s="1171">
        <f t="shared" si="16"/>
        <v>0</v>
      </c>
      <c r="W38" s="1255">
        <f t="shared" si="17"/>
        <v>4.0969201125368215</v>
      </c>
      <c r="AA38" s="1261">
        <v>913</v>
      </c>
      <c r="AB38" s="1262" t="s">
        <v>182</v>
      </c>
      <c r="AC38" s="1263">
        <v>3</v>
      </c>
      <c r="AD38" s="1264" t="s">
        <v>1</v>
      </c>
    </row>
    <row r="39" spans="1:30" s="741" customFormat="1" ht="53.25" customHeight="1" thickBot="1" x14ac:dyDescent="0.25">
      <c r="A39" s="1265"/>
      <c r="B39" s="1266"/>
      <c r="C39" s="1267"/>
      <c r="D39" s="1267"/>
      <c r="E39" s="1268"/>
      <c r="F39" s="1186"/>
      <c r="G39" s="1187"/>
      <c r="H39" s="1195"/>
      <c r="I39" s="1189"/>
      <c r="J39" s="1269"/>
      <c r="K39" s="1196"/>
      <c r="L39" s="1243">
        <f>+'ข้อมูล ต.3-505,708,709ไป สนน.'!A40</f>
        <v>914</v>
      </c>
      <c r="M39" s="1245" t="str">
        <f>+'ข้อมูล ต.3-505,708,709ไป สนน.'!B40</f>
        <v>งานวิเคราะห์ภาวะเศรษฐกิจสังคมครัวเรือน***</v>
      </c>
      <c r="N39" s="1246">
        <f>+'ข้อมูล ต.3-505,708,709ไป สนน.'!C40</f>
        <v>1439958.0597200003</v>
      </c>
      <c r="O39" s="1246">
        <f>+'ข้อมูล ต.3-505,708,709ไป สนน.'!D40</f>
        <v>78872.137346598291</v>
      </c>
      <c r="P39" s="1246">
        <f>+'ข้อมูล ต.3-505,708,709ไป สนน.'!E40</f>
        <v>35099.415011999998</v>
      </c>
      <c r="Q39" s="1195">
        <f t="shared" si="13"/>
        <v>1553929.6120785985</v>
      </c>
      <c r="R39" s="1247">
        <f>+'ข้อมูล ต.3-505,708,709ไป สนน.'!G40</f>
        <v>1</v>
      </c>
      <c r="S39" s="1246" t="str">
        <f>+'ข้อมูล ต.3-505,708,709ไป สนน.'!H40</f>
        <v>สินค้า</v>
      </c>
      <c r="T39" s="1196">
        <f>+Q39/R39</f>
        <v>1553929.6120785985</v>
      </c>
      <c r="U39" s="1197" t="e">
        <f>+Q39/H39*100-100</f>
        <v>#DIV/0!</v>
      </c>
      <c r="V39" s="1199" t="e">
        <f>+R39/I39*100-100</f>
        <v>#DIV/0!</v>
      </c>
      <c r="W39" s="1270" t="e">
        <f>+T39/K39*100-100</f>
        <v>#DIV/0!</v>
      </c>
      <c r="AA39" s="1261"/>
      <c r="AB39" s="1262"/>
      <c r="AC39" s="1263"/>
      <c r="AD39" s="1264"/>
    </row>
    <row r="40" spans="1:30" s="1129" customFormat="1" ht="29.25" customHeight="1" x14ac:dyDescent="0.2">
      <c r="A40" s="1113" t="s">
        <v>92</v>
      </c>
      <c r="B40" s="1114"/>
      <c r="C40" s="1115"/>
      <c r="D40" s="1115"/>
      <c r="E40" s="1229">
        <f>SUM(E41:E50)</f>
        <v>71658038.808825821</v>
      </c>
      <c r="F40" s="1117">
        <f t="shared" ref="F40:H40" si="19">SUM(F41:F50)</f>
        <v>4769655.9732539291</v>
      </c>
      <c r="G40" s="1117">
        <f t="shared" si="19"/>
        <v>17594283.701837283</v>
      </c>
      <c r="H40" s="1117">
        <f t="shared" si="19"/>
        <v>94021978.483917013</v>
      </c>
      <c r="I40" s="1271"/>
      <c r="J40" s="1203"/>
      <c r="K40" s="1230"/>
      <c r="L40" s="1205" t="s">
        <v>92</v>
      </c>
      <c r="M40" s="1206"/>
      <c r="N40" s="1117">
        <f>SUM(N41:N50)</f>
        <v>79076444.241841897</v>
      </c>
      <c r="O40" s="1117">
        <f>SUM(O41:O50)</f>
        <v>3238447.2520048423</v>
      </c>
      <c r="P40" s="1117">
        <f>SUM(P41:P50)</f>
        <v>17433240.096608885</v>
      </c>
      <c r="Q40" s="1117">
        <f>SUM(Q41:Q50)</f>
        <v>99748131.590455636</v>
      </c>
      <c r="R40" s="1123"/>
      <c r="S40" s="1124"/>
      <c r="T40" s="1125"/>
      <c r="U40" s="1209"/>
      <c r="V40" s="1210"/>
      <c r="W40" s="1211"/>
    </row>
    <row r="41" spans="1:30" s="1129" customFormat="1" x14ac:dyDescent="0.2">
      <c r="A41" s="1231">
        <v>700</v>
      </c>
      <c r="B41" s="1232" t="s">
        <v>151</v>
      </c>
      <c r="C41" s="1233">
        <v>700</v>
      </c>
      <c r="D41" s="1233" t="s">
        <v>151</v>
      </c>
      <c r="E41" s="1234">
        <v>25038879.844147567</v>
      </c>
      <c r="F41" s="1134">
        <v>1666621.7049400543</v>
      </c>
      <c r="G41" s="1135">
        <v>6147826.020322063</v>
      </c>
      <c r="H41" s="1136">
        <f>SUM(E41:G41)</f>
        <v>32853327.569409683</v>
      </c>
      <c r="I41" s="1137">
        <v>50</v>
      </c>
      <c r="J41" s="1252" t="s">
        <v>7</v>
      </c>
      <c r="K41" s="1239">
        <f t="shared" ref="K41:K50" si="20">+H41/I41</f>
        <v>657066.55138819362</v>
      </c>
      <c r="L41" s="1231">
        <f>+'ข้อมูล ต.3-505,708,709ไป สนน.'!A42</f>
        <v>700</v>
      </c>
      <c r="M41" s="1164" t="str">
        <f>+'ข้อมูล ต.3-505,708,709ไป สนน.'!B42</f>
        <v>จัดทำข้อมูลการผลิต</v>
      </c>
      <c r="N41" s="1235">
        <f>+'ข้อมูล ต.3-505,708,709ไป สนน.'!C42</f>
        <v>27631032.31385183</v>
      </c>
      <c r="O41" s="1235">
        <f>+'ข้อมูล ต.3-505,708,709ไป สนน.'!D42</f>
        <v>1131584.0200551508</v>
      </c>
      <c r="P41" s="1235">
        <f>+'ข้อมูล ต.3-505,708,709ไป สนน.'!E42</f>
        <v>6091553.876288929</v>
      </c>
      <c r="Q41" s="1236">
        <f t="shared" ref="Q41:Q50" si="21">SUM(N41:P41)</f>
        <v>34854170.210195914</v>
      </c>
      <c r="R41" s="1237">
        <f>+'ข้อมูล ต.3-505,708,709ไป สนน.'!G42</f>
        <v>50</v>
      </c>
      <c r="S41" s="1235" t="str">
        <f>+'ข้อมูล ต.3-505,708,709ไป สนน.'!H42</f>
        <v>สินค้า</v>
      </c>
      <c r="T41" s="1239">
        <f t="shared" ref="T41:T50" si="22">+Q41/R41</f>
        <v>697083.4042039183</v>
      </c>
      <c r="U41" s="1146">
        <f t="shared" ref="U41:U50" si="23">+Q41/H41*100-100</f>
        <v>6.0902282624462316</v>
      </c>
      <c r="V41" s="1147">
        <f t="shared" ref="V41:V50" si="24">+R41/I41*100-100</f>
        <v>0</v>
      </c>
      <c r="W41" s="1148">
        <f t="shared" ref="W41:W50" si="25">+T41/K41*100-100</f>
        <v>6.0902282624462458</v>
      </c>
      <c r="AA41" s="1149">
        <v>700</v>
      </c>
      <c r="AB41" s="1150" t="s">
        <v>151</v>
      </c>
      <c r="AC41" s="1151">
        <v>50</v>
      </c>
      <c r="AD41" s="1152" t="s">
        <v>7</v>
      </c>
    </row>
    <row r="42" spans="1:30" s="741" customFormat="1" x14ac:dyDescent="0.2">
      <c r="A42" s="1240">
        <v>701</v>
      </c>
      <c r="B42" s="1172" t="s">
        <v>152</v>
      </c>
      <c r="C42" s="1173">
        <v>701</v>
      </c>
      <c r="D42" s="1173" t="s">
        <v>152</v>
      </c>
      <c r="E42" s="1241">
        <v>1364584.2166350738</v>
      </c>
      <c r="F42" s="1157">
        <v>90828.570919245947</v>
      </c>
      <c r="G42" s="1158">
        <v>335047.98961327138</v>
      </c>
      <c r="H42" s="1159">
        <f t="shared" ref="H42:H50" si="26">SUM(E42:G42)</f>
        <v>1790460.777167591</v>
      </c>
      <c r="I42" s="1160">
        <v>10</v>
      </c>
      <c r="J42" s="1254" t="s">
        <v>28</v>
      </c>
      <c r="K42" s="1168">
        <f t="shared" si="20"/>
        <v>179046.07771675911</v>
      </c>
      <c r="L42" s="1231">
        <f>+'ข้อมูล ต.3-505,708,709ไป สนน.'!A43</f>
        <v>701</v>
      </c>
      <c r="M42" s="1164" t="str">
        <f>+'ข้อมูล ต.3-505,708,709ไป สนน.'!B43</f>
        <v>ควบคุมคุณภาพข้อมูล</v>
      </c>
      <c r="N42" s="1235">
        <f>+'ข้อมูล ต.3-505,708,709ไป สนน.'!C43</f>
        <v>1505852.9303030625</v>
      </c>
      <c r="O42" s="1235">
        <f>+'ข้อมูล ต.3-505,708,709ไป สนน.'!D43</f>
        <v>61669.759317314012</v>
      </c>
      <c r="P42" s="1235">
        <f>+'ข้อมูล ต.3-505,708,709ไป สนน.'!E43</f>
        <v>331981.23582628922</v>
      </c>
      <c r="Q42" s="1166">
        <f t="shared" si="21"/>
        <v>1899503.9254466658</v>
      </c>
      <c r="R42" s="1237">
        <f>+'ข้อมูล ต.3-505,708,709ไป สนน.'!G43</f>
        <v>10</v>
      </c>
      <c r="S42" s="1235" t="str">
        <f>+'ข้อมูล ต.3-505,708,709ไป สนน.'!H43</f>
        <v>ครั้ง</v>
      </c>
      <c r="T42" s="1168">
        <f t="shared" si="22"/>
        <v>189950.3925446666</v>
      </c>
      <c r="U42" s="1169">
        <f t="shared" si="23"/>
        <v>6.0902282624462032</v>
      </c>
      <c r="V42" s="1170">
        <f t="shared" si="24"/>
        <v>0</v>
      </c>
      <c r="W42" s="1171">
        <f t="shared" si="25"/>
        <v>6.0902282624462032</v>
      </c>
      <c r="AA42" s="1149">
        <v>701</v>
      </c>
      <c r="AB42" s="1150" t="s">
        <v>152</v>
      </c>
      <c r="AC42" s="1151">
        <v>10</v>
      </c>
      <c r="AD42" s="1152" t="s">
        <v>28</v>
      </c>
    </row>
    <row r="43" spans="1:30" s="741" customFormat="1" x14ac:dyDescent="0.2">
      <c r="A43" s="1240">
        <v>702</v>
      </c>
      <c r="B43" s="1172" t="s">
        <v>153</v>
      </c>
      <c r="C43" s="1173">
        <v>702</v>
      </c>
      <c r="D43" s="1173" t="s">
        <v>153</v>
      </c>
      <c r="E43" s="1241">
        <v>471401.82029211632</v>
      </c>
      <c r="F43" s="1157">
        <v>31377.142681194051</v>
      </c>
      <c r="G43" s="1158">
        <v>115743.85095731194</v>
      </c>
      <c r="H43" s="1159">
        <f t="shared" si="26"/>
        <v>618522.8139306223</v>
      </c>
      <c r="I43" s="1160">
        <v>10</v>
      </c>
      <c r="J43" s="1254" t="s">
        <v>28</v>
      </c>
      <c r="K43" s="1168">
        <f t="shared" si="20"/>
        <v>61852.281393062229</v>
      </c>
      <c r="L43" s="1231">
        <f>+'ข้อมูล ต.3-505,708,709ไป สนน.'!A44</f>
        <v>702</v>
      </c>
      <c r="M43" s="1164" t="str">
        <f>+'ข้อมูล ต.3-505,708,709ไป สนน.'!B44</f>
        <v>นิเทศงาน สศข.</v>
      </c>
      <c r="N43" s="1235">
        <f>+'ข้อมูล ต.3-505,708,709ไป สนน.'!C44</f>
        <v>520203.73955923977</v>
      </c>
      <c r="O43" s="1235">
        <f>+'ข้อมูล ต.3-505,708,709ไป สนน.'!D44</f>
        <v>21304.098673253931</v>
      </c>
      <c r="P43" s="1235">
        <f>+'ข้อมูล ต.3-505,708,709ไป สนน.'!E44</f>
        <v>114684.426921809</v>
      </c>
      <c r="Q43" s="1166">
        <f t="shared" si="21"/>
        <v>656192.2651543027</v>
      </c>
      <c r="R43" s="1237">
        <f>+'ข้อมูล ต.3-505,708,709ไป สนน.'!G44</f>
        <v>10</v>
      </c>
      <c r="S43" s="1235" t="str">
        <f>+'ข้อมูล ต.3-505,708,709ไป สนน.'!H44</f>
        <v>ครั้ง</v>
      </c>
      <c r="T43" s="1168">
        <f t="shared" si="22"/>
        <v>65619.226515430273</v>
      </c>
      <c r="U43" s="1169">
        <f t="shared" si="23"/>
        <v>6.0902282624462316</v>
      </c>
      <c r="V43" s="1170">
        <f t="shared" si="24"/>
        <v>0</v>
      </c>
      <c r="W43" s="1171">
        <f t="shared" si="25"/>
        <v>6.0902282624462316</v>
      </c>
      <c r="AA43" s="1149">
        <v>702</v>
      </c>
      <c r="AB43" s="1150" t="s">
        <v>153</v>
      </c>
      <c r="AC43" s="1151">
        <v>10</v>
      </c>
      <c r="AD43" s="1152" t="s">
        <v>28</v>
      </c>
    </row>
    <row r="44" spans="1:30" s="741" customFormat="1" ht="28.5" customHeight="1" x14ac:dyDescent="0.2">
      <c r="A44" s="1240">
        <v>703</v>
      </c>
      <c r="B44" s="1172" t="s">
        <v>154</v>
      </c>
      <c r="C44" s="1173">
        <v>703</v>
      </c>
      <c r="D44" s="1173" t="s">
        <v>154</v>
      </c>
      <c r="E44" s="1241">
        <v>9949059.4703757185</v>
      </c>
      <c r="F44" s="1157">
        <v>662222.85342941131</v>
      </c>
      <c r="G44" s="1158">
        <v>2442804.4333622148</v>
      </c>
      <c r="H44" s="1159">
        <f t="shared" si="26"/>
        <v>13054086.757167343</v>
      </c>
      <c r="I44" s="1160">
        <v>220</v>
      </c>
      <c r="J44" s="1254" t="s">
        <v>7</v>
      </c>
      <c r="K44" s="1168">
        <f t="shared" si="20"/>
        <v>59336.757987124285</v>
      </c>
      <c r="L44" s="1231">
        <f>+'ข้อมูล ต.3-505,708,709ไป สนน.'!A45</f>
        <v>703</v>
      </c>
      <c r="M44" s="1164" t="str">
        <f>+'ข้อมูล ต.3-505,708,709ไป สนน.'!B45</f>
        <v>จัดทำต้นทุนการผลิต ราคา***</v>
      </c>
      <c r="N44" s="1235">
        <f>+'ข้อมูล ต.3-505,708,709ไป สนน.'!C45</f>
        <v>10979036.81911869</v>
      </c>
      <c r="O44" s="1235">
        <f>+'ข้อมูล ต.3-505,708,709ไป สนน.'!D45</f>
        <v>449628.60884078033</v>
      </c>
      <c r="P44" s="1235">
        <f>+'ข้อมูล ต.3-505,708,709ไป สนน.'!E45</f>
        <v>2420445.0102971266</v>
      </c>
      <c r="Q44" s="1166">
        <f t="shared" si="21"/>
        <v>13849110.438256597</v>
      </c>
      <c r="R44" s="1237">
        <f>+'ข้อมูล ต.3-505,708,709ไป สนน.'!G45</f>
        <v>220</v>
      </c>
      <c r="S44" s="1235" t="str">
        <f>+'ข้อมูล ต.3-505,708,709ไป สนน.'!H45</f>
        <v>สินค้า</v>
      </c>
      <c r="T44" s="1168">
        <f t="shared" si="22"/>
        <v>62950.501992075442</v>
      </c>
      <c r="U44" s="1169">
        <f t="shared" si="23"/>
        <v>6.0902282624462032</v>
      </c>
      <c r="V44" s="1170">
        <f t="shared" si="24"/>
        <v>0</v>
      </c>
      <c r="W44" s="1171">
        <f t="shared" si="25"/>
        <v>6.0902282624462316</v>
      </c>
      <c r="AA44" s="1149">
        <v>703</v>
      </c>
      <c r="AB44" s="1150" t="s">
        <v>154</v>
      </c>
      <c r="AC44" s="1151">
        <v>220</v>
      </c>
      <c r="AD44" s="1152" t="s">
        <v>7</v>
      </c>
    </row>
    <row r="45" spans="1:30" s="741" customFormat="1" ht="27" customHeight="1" x14ac:dyDescent="0.2">
      <c r="A45" s="1240">
        <v>704</v>
      </c>
      <c r="B45" s="1172" t="s">
        <v>155</v>
      </c>
      <c r="C45" s="1173">
        <v>704</v>
      </c>
      <c r="D45" s="1173" t="s">
        <v>155</v>
      </c>
      <c r="E45" s="1241">
        <v>8832581.4749470223</v>
      </c>
      <c r="F45" s="1157">
        <v>587908.56813184638</v>
      </c>
      <c r="G45" s="1158">
        <v>2168674.2600422655</v>
      </c>
      <c r="H45" s="1159">
        <f t="shared" si="26"/>
        <v>11589164.303121135</v>
      </c>
      <c r="I45" s="1160">
        <v>6</v>
      </c>
      <c r="J45" s="1254" t="s">
        <v>28</v>
      </c>
      <c r="K45" s="1168">
        <f t="shared" si="20"/>
        <v>1931527.3838535224</v>
      </c>
      <c r="L45" s="1231">
        <f>+'ข้อมูล ต.3-505,708,709ไป สนน.'!A46</f>
        <v>704</v>
      </c>
      <c r="M45" s="1164" t="str">
        <f>+'ข้อมูล ต.3-505,708,709ไป สนน.'!B46</f>
        <v>พยากรณ์ผลผลิตสินค้าเกษตร</v>
      </c>
      <c r="N45" s="1235">
        <f>+'ข้อมูล ต.3-505,708,709ไป สนน.'!C46</f>
        <v>9746975.3306889124</v>
      </c>
      <c r="O45" s="1235">
        <f>+'ข้อมูล ต.3-505,708,709ไป สนน.'!D46</f>
        <v>399171.53303570522</v>
      </c>
      <c r="P45" s="1235">
        <f>+'ข้อมูล ต.3-505,708,709ไป สนน.'!E46</f>
        <v>2148823.9991665264</v>
      </c>
      <c r="Q45" s="1166">
        <f t="shared" si="21"/>
        <v>12294970.862891143</v>
      </c>
      <c r="R45" s="1237">
        <f>+'ข้อมูล ต.3-505,708,709ไป สนน.'!G46</f>
        <v>6</v>
      </c>
      <c r="S45" s="1235" t="str">
        <f>+'ข้อมูล ต.3-505,708,709ไป สนน.'!H46</f>
        <v>ครั้ง</v>
      </c>
      <c r="T45" s="1168">
        <f t="shared" si="22"/>
        <v>2049161.8104818573</v>
      </c>
      <c r="U45" s="1169">
        <f t="shared" si="23"/>
        <v>6.090228262446189</v>
      </c>
      <c r="V45" s="1170">
        <f t="shared" si="24"/>
        <v>0</v>
      </c>
      <c r="W45" s="1171">
        <f t="shared" si="25"/>
        <v>6.0902282624462032</v>
      </c>
      <c r="AA45" s="1149">
        <v>704</v>
      </c>
      <c r="AB45" s="1150" t="s">
        <v>155</v>
      </c>
      <c r="AC45" s="1151">
        <v>6</v>
      </c>
      <c r="AD45" s="1152" t="s">
        <v>28</v>
      </c>
    </row>
    <row r="46" spans="1:30" s="741" customFormat="1" x14ac:dyDescent="0.2">
      <c r="A46" s="1240">
        <v>705</v>
      </c>
      <c r="B46" s="1172" t="s">
        <v>156</v>
      </c>
      <c r="C46" s="1173">
        <v>705</v>
      </c>
      <c r="D46" s="1173" t="s">
        <v>156</v>
      </c>
      <c r="E46" s="1241">
        <v>8683717.7422231957</v>
      </c>
      <c r="F46" s="1157">
        <v>577999.99675883783</v>
      </c>
      <c r="G46" s="1158">
        <v>2132123.5702662724</v>
      </c>
      <c r="H46" s="1159">
        <f t="shared" si="26"/>
        <v>11393841.309248306</v>
      </c>
      <c r="I46" s="1160">
        <v>77</v>
      </c>
      <c r="J46" s="1254" t="s">
        <v>8</v>
      </c>
      <c r="K46" s="1168">
        <f t="shared" si="20"/>
        <v>147971.9650551728</v>
      </c>
      <c r="L46" s="1231">
        <f>+'ข้อมูล ต.3-505,708,709ไป สนน.'!A47</f>
        <v>705</v>
      </c>
      <c r="M46" s="1164" t="str">
        <f>+'ข้อมูล ต.3-505,708,709ไป สนน.'!B47</f>
        <v>จัดทำ ประยุกต์ใช้ GI</v>
      </c>
      <c r="N46" s="1235">
        <f>+'ข้อมูล ต.3-505,708,709ไป สนน.'!C47</f>
        <v>9582700.4655649439</v>
      </c>
      <c r="O46" s="1235">
        <f>+'ข้อมูล ต.3-505,708,709ไป สนน.'!D47</f>
        <v>392443.92292836192</v>
      </c>
      <c r="P46" s="1235">
        <f>+'ข้อมูล ต.3-505,708,709ไป สนน.'!E47</f>
        <v>2112607.8643491133</v>
      </c>
      <c r="Q46" s="1166">
        <f t="shared" si="21"/>
        <v>12087752.252842419</v>
      </c>
      <c r="R46" s="1237">
        <f>+'ข้อมูล ต.3-505,708,709ไป สนน.'!G47</f>
        <v>77</v>
      </c>
      <c r="S46" s="1235" t="str">
        <f>+'ข้อมูล ต.3-505,708,709ไป สนน.'!H47</f>
        <v>จังหวัด</v>
      </c>
      <c r="T46" s="1168">
        <f t="shared" si="22"/>
        <v>156983.79549145998</v>
      </c>
      <c r="U46" s="1169">
        <f t="shared" si="23"/>
        <v>6.0902282624462316</v>
      </c>
      <c r="V46" s="1170">
        <f t="shared" si="24"/>
        <v>0</v>
      </c>
      <c r="W46" s="1171">
        <f t="shared" si="25"/>
        <v>6.0902282624462316</v>
      </c>
      <c r="AA46" s="1149">
        <v>705</v>
      </c>
      <c r="AB46" s="1150" t="s">
        <v>156</v>
      </c>
      <c r="AC46" s="1151">
        <v>77</v>
      </c>
      <c r="AD46" s="1152" t="s">
        <v>8</v>
      </c>
    </row>
    <row r="47" spans="1:30" s="1129" customFormat="1" ht="42.75" customHeight="1" x14ac:dyDescent="0.2">
      <c r="A47" s="1240">
        <v>706</v>
      </c>
      <c r="B47" s="1172" t="s">
        <v>331</v>
      </c>
      <c r="C47" s="1173">
        <v>706</v>
      </c>
      <c r="D47" s="1173" t="s">
        <v>331</v>
      </c>
      <c r="E47" s="1241">
        <v>6351519.2628832515</v>
      </c>
      <c r="F47" s="1157">
        <v>422765.71191503567</v>
      </c>
      <c r="G47" s="1158">
        <v>1559496.0971090451</v>
      </c>
      <c r="H47" s="1159">
        <f t="shared" si="26"/>
        <v>8333781.0719073322</v>
      </c>
      <c r="I47" s="1160">
        <v>77</v>
      </c>
      <c r="J47" s="1254" t="s">
        <v>8</v>
      </c>
      <c r="K47" s="1168">
        <f t="shared" si="20"/>
        <v>108230.92301178354</v>
      </c>
      <c r="L47" s="1231">
        <f>+'ข้อมูล ต.3-505,708,709ไป สนน.'!A48</f>
        <v>706</v>
      </c>
      <c r="M47" s="1164" t="str">
        <f>+'ข้อมูล ต.3-505,708,709ไป สนน.'!B48</f>
        <v>การพัฒนาฐานข้อมูลเกษตรกรกลาง***</v>
      </c>
      <c r="N47" s="1235">
        <f>+'ข้อมูล ต.3-505,708,709ไป สนน.'!C48</f>
        <v>7009060.9119560728</v>
      </c>
      <c r="O47" s="1235">
        <f>+'ข้อมูล ต.3-505,708,709ไป สนน.'!D48</f>
        <v>287044.69791331614</v>
      </c>
      <c r="P47" s="1235">
        <f>+'ข้อมูล ต.3-505,708,709ไป สนน.'!E48</f>
        <v>1545221.7522096371</v>
      </c>
      <c r="Q47" s="1166">
        <f t="shared" si="21"/>
        <v>8841327.3620790262</v>
      </c>
      <c r="R47" s="1237">
        <f>+'ข้อมูล ต.3-505,708,709ไป สนน.'!G48</f>
        <v>77</v>
      </c>
      <c r="S47" s="1235" t="str">
        <f>+'ข้อมูล ต.3-505,708,709ไป สนน.'!H48</f>
        <v>จังหวัด</v>
      </c>
      <c r="T47" s="1168">
        <f t="shared" si="22"/>
        <v>114822.43327375359</v>
      </c>
      <c r="U47" s="1169">
        <f t="shared" si="23"/>
        <v>6.0902282624462316</v>
      </c>
      <c r="V47" s="1170">
        <f t="shared" si="24"/>
        <v>0</v>
      </c>
      <c r="W47" s="1171">
        <f t="shared" si="25"/>
        <v>6.0902282624462032</v>
      </c>
      <c r="AA47" s="1149">
        <v>706</v>
      </c>
      <c r="AB47" s="1150" t="s">
        <v>157</v>
      </c>
      <c r="AC47" s="1151">
        <v>77</v>
      </c>
      <c r="AD47" s="1152" t="s">
        <v>8</v>
      </c>
    </row>
    <row r="48" spans="1:30" s="1129" customFormat="1" x14ac:dyDescent="0.2">
      <c r="A48" s="1240">
        <v>707</v>
      </c>
      <c r="B48" s="1172" t="s">
        <v>158</v>
      </c>
      <c r="C48" s="1173">
        <v>707</v>
      </c>
      <c r="D48" s="1173" t="s">
        <v>158</v>
      </c>
      <c r="E48" s="1241">
        <v>8614248.0002854113</v>
      </c>
      <c r="F48" s="1157">
        <v>573375.99678476714</v>
      </c>
      <c r="G48" s="1158">
        <v>2115066.5817041425</v>
      </c>
      <c r="H48" s="1159">
        <f t="shared" si="26"/>
        <v>11302690.578774322</v>
      </c>
      <c r="I48" s="1160">
        <v>15</v>
      </c>
      <c r="J48" s="1254" t="s">
        <v>9</v>
      </c>
      <c r="K48" s="1168">
        <f t="shared" si="20"/>
        <v>753512.70525162143</v>
      </c>
      <c r="L48" s="1231">
        <f>+'ข้อมูล ต.3-505,708,709ไป สนน.'!A49</f>
        <v>707</v>
      </c>
      <c r="M48" s="1164" t="str">
        <f>+'ข้อมูล ต.3-505,708,709ไป สนน.'!B49</f>
        <v>เผยแพร่สารสนเทศเกษตร</v>
      </c>
      <c r="N48" s="1235">
        <f>+'ข้อมูล ต.3-505,708,709ไป สนน.'!C49</f>
        <v>9506038.8618404251</v>
      </c>
      <c r="O48" s="1235">
        <f>+'ข้อมูล ต.3-505,708,709ไป สนน.'!D49</f>
        <v>389304.37154493504</v>
      </c>
      <c r="P48" s="1235">
        <f>+'ข้อมูล ต.3-505,708,709ไป สนน.'!E49</f>
        <v>2095707.0014343206</v>
      </c>
      <c r="Q48" s="1166">
        <f t="shared" si="21"/>
        <v>11991050.23481968</v>
      </c>
      <c r="R48" s="1237">
        <f>+'ข้อมูล ต.3-505,708,709ไป สนน.'!G49</f>
        <v>15</v>
      </c>
      <c r="S48" s="1235" t="str">
        <f>+'ข้อมูล ต.3-505,708,709ไป สนน.'!H49</f>
        <v>เล่ม</v>
      </c>
      <c r="T48" s="1168">
        <f t="shared" si="22"/>
        <v>799403.34898797865</v>
      </c>
      <c r="U48" s="1169">
        <f t="shared" si="23"/>
        <v>6.0902282624462032</v>
      </c>
      <c r="V48" s="1170">
        <f t="shared" si="24"/>
        <v>0</v>
      </c>
      <c r="W48" s="1171">
        <f t="shared" si="25"/>
        <v>6.0902282624462032</v>
      </c>
      <c r="AA48" s="1149">
        <v>707</v>
      </c>
      <c r="AB48" s="1150" t="s">
        <v>158</v>
      </c>
      <c r="AC48" s="1151">
        <v>15</v>
      </c>
      <c r="AD48" s="1152" t="s">
        <v>9</v>
      </c>
    </row>
    <row r="49" spans="1:30" s="1129" customFormat="1" x14ac:dyDescent="0.2">
      <c r="A49" s="1240">
        <v>506</v>
      </c>
      <c r="B49" s="1172" t="s">
        <v>330</v>
      </c>
      <c r="C49" s="1173">
        <v>506</v>
      </c>
      <c r="D49" s="1173" t="s">
        <v>330</v>
      </c>
      <c r="E49" s="1241">
        <v>1086705.2488839314</v>
      </c>
      <c r="F49" s="1157">
        <v>72332.571022963122</v>
      </c>
      <c r="G49" s="1158">
        <v>266820.03536475066</v>
      </c>
      <c r="H49" s="1159">
        <f t="shared" si="26"/>
        <v>1425857.8552716454</v>
      </c>
      <c r="I49" s="1160">
        <v>882</v>
      </c>
      <c r="J49" s="1254" t="s">
        <v>325</v>
      </c>
      <c r="K49" s="1168">
        <f t="shared" si="20"/>
        <v>1616.6188835279427</v>
      </c>
      <c r="L49" s="1231">
        <f>+'ข้อมูล ต.3-505,708,709ไป สนน.'!A50</f>
        <v>506</v>
      </c>
      <c r="M49" s="1164" t="str">
        <f>+'ข้อมูล ต.3-505,708,709ไป สนน.'!B50</f>
        <v>พัฒนาศูนย์เรียนรู้ ***</v>
      </c>
      <c r="N49" s="1235">
        <f>+'ข้อมูล ต.3-505,708,709ไป สนน.'!C50</f>
        <v>1199206.5154049841</v>
      </c>
      <c r="O49" s="1235">
        <f>+'ข้อมูล ต.3-505,708,709ไป สนน.'!D50</f>
        <v>49111.553783606432</v>
      </c>
      <c r="P49" s="1235">
        <f>+'ข้อมูล ต.3-505,708,709ไป สนน.'!E50</f>
        <v>264377.78416711761</v>
      </c>
      <c r="Q49" s="1166">
        <f t="shared" si="21"/>
        <v>1512695.8533557083</v>
      </c>
      <c r="R49" s="1237">
        <f>+'ข้อมูล ต.3-505,708,709ไป สนน.'!G50</f>
        <v>882</v>
      </c>
      <c r="S49" s="1235" t="str">
        <f>+'ข้อมูล ต.3-505,708,709ไป สนน.'!H50</f>
        <v>ศูนย์</v>
      </c>
      <c r="T49" s="1168">
        <f t="shared" si="22"/>
        <v>1715.0746636686035</v>
      </c>
      <c r="U49" s="1169">
        <f t="shared" si="23"/>
        <v>6.0902282624462032</v>
      </c>
      <c r="V49" s="1170">
        <f t="shared" si="24"/>
        <v>0</v>
      </c>
      <c r="W49" s="1171">
        <f t="shared" si="25"/>
        <v>6.090228262446189</v>
      </c>
      <c r="AA49" s="1272">
        <v>506</v>
      </c>
      <c r="AB49" s="1150" t="s">
        <v>206</v>
      </c>
      <c r="AC49" s="1151">
        <v>4</v>
      </c>
      <c r="AD49" s="1152" t="s">
        <v>1</v>
      </c>
    </row>
    <row r="50" spans="1:30" s="1129" customFormat="1" ht="34.5" customHeight="1" thickBot="1" x14ac:dyDescent="0.25">
      <c r="A50" s="1273">
        <v>710</v>
      </c>
      <c r="B50" s="1274" t="s">
        <v>221</v>
      </c>
      <c r="C50" s="1275">
        <v>710</v>
      </c>
      <c r="D50" s="1275" t="s">
        <v>221</v>
      </c>
      <c r="E50" s="1268">
        <v>1265341.7281525228</v>
      </c>
      <c r="F50" s="1186">
        <v>84222.856670573499</v>
      </c>
      <c r="G50" s="1187">
        <v>310680.86309594254</v>
      </c>
      <c r="H50" s="1188">
        <f t="shared" si="26"/>
        <v>1660245.4479190391</v>
      </c>
      <c r="I50" s="1189">
        <v>1</v>
      </c>
      <c r="J50" s="1269" t="s">
        <v>6</v>
      </c>
      <c r="K50" s="1196">
        <f t="shared" si="20"/>
        <v>1660245.4479190391</v>
      </c>
      <c r="L50" s="1231">
        <f>+'ข้อมูล ต.3-505,708,709ไป สนน.'!A51</f>
        <v>710</v>
      </c>
      <c r="M50" s="1164" t="str">
        <f>+'ข้อมูล ต.3-505,708,709ไป สนน.'!B51</f>
        <v>บริหารจัดการระบบเทคโนโลยี</v>
      </c>
      <c r="N50" s="1235">
        <f>+'ข้อมูล ต.3-505,708,709ไป สนน.'!C51</f>
        <v>1396336.3535537487</v>
      </c>
      <c r="O50" s="1235">
        <f>+'ข้อมูล ต.3-505,708,709ไป สนน.'!D51</f>
        <v>57184.685912418441</v>
      </c>
      <c r="P50" s="1235">
        <f>+'ข้อมูล ต.3-505,708,709ไป สนน.'!E51</f>
        <v>307837.14594801364</v>
      </c>
      <c r="Q50" s="1195">
        <f t="shared" si="21"/>
        <v>1761358.1854141806</v>
      </c>
      <c r="R50" s="1237">
        <f>+'ข้อมูล ต.3-505,708,709ไป สนน.'!G51</f>
        <v>1</v>
      </c>
      <c r="S50" s="1235" t="str">
        <f>+'ข้อมูล ต.3-505,708,709ไป สนน.'!H51</f>
        <v>ระบบ</v>
      </c>
      <c r="T50" s="1196">
        <f t="shared" si="22"/>
        <v>1761358.1854141806</v>
      </c>
      <c r="U50" s="1197">
        <f t="shared" si="23"/>
        <v>6.090228262446189</v>
      </c>
      <c r="V50" s="1198">
        <f t="shared" si="24"/>
        <v>0</v>
      </c>
      <c r="W50" s="1199">
        <f t="shared" si="25"/>
        <v>6.090228262446189</v>
      </c>
      <c r="AA50" s="1272">
        <v>506</v>
      </c>
      <c r="AB50" s="1150" t="s">
        <v>206</v>
      </c>
      <c r="AC50" s="1151">
        <v>4</v>
      </c>
      <c r="AD50" s="1152" t="s">
        <v>1</v>
      </c>
    </row>
    <row r="51" spans="1:30" s="1129" customFormat="1" ht="29.25" customHeight="1" x14ac:dyDescent="0.2">
      <c r="A51" s="1228" t="s">
        <v>93</v>
      </c>
      <c r="B51" s="1114"/>
      <c r="C51" s="1115"/>
      <c r="D51" s="1115"/>
      <c r="E51" s="1229">
        <f>SUM(E52:E58)</f>
        <v>44509506.832499996</v>
      </c>
      <c r="F51" s="1117">
        <f t="shared" ref="F51:H51" si="27">SUM(F52:F58)</f>
        <v>3702606.6515811975</v>
      </c>
      <c r="G51" s="1117">
        <f t="shared" si="27"/>
        <v>863626.19999999984</v>
      </c>
      <c r="H51" s="1117">
        <f t="shared" si="27"/>
        <v>49075739.684081182</v>
      </c>
      <c r="I51" s="1276"/>
      <c r="J51" s="1203"/>
      <c r="K51" s="1230"/>
      <c r="L51" s="1277" t="s">
        <v>93</v>
      </c>
      <c r="M51" s="1206"/>
      <c r="N51" s="1117">
        <f>SUM(N52:N58)</f>
        <v>47930482.770000011</v>
      </c>
      <c r="O51" s="1117">
        <f>SUM(O52:O58)</f>
        <v>2565065.727094017</v>
      </c>
      <c r="P51" s="1117">
        <f>SUM(P52:P58)</f>
        <v>1525842.2300000004</v>
      </c>
      <c r="Q51" s="1117">
        <f>SUM(Q52:Q58)</f>
        <v>52021390.727094024</v>
      </c>
      <c r="R51" s="1123"/>
      <c r="S51" s="1124"/>
      <c r="T51" s="1125"/>
      <c r="U51" s="1209"/>
      <c r="V51" s="1210"/>
      <c r="W51" s="1211"/>
    </row>
    <row r="52" spans="1:30" s="1129" customFormat="1" ht="49.5" customHeight="1" x14ac:dyDescent="0.2">
      <c r="A52" s="1231">
        <v>600</v>
      </c>
      <c r="B52" s="1232" t="s">
        <v>147</v>
      </c>
      <c r="C52" s="1233">
        <v>600</v>
      </c>
      <c r="D52" s="1233" t="s">
        <v>147</v>
      </c>
      <c r="E52" s="1278">
        <v>18373524.420455996</v>
      </c>
      <c r="F52" s="1165">
        <v>1528436.0257727182</v>
      </c>
      <c r="G52" s="1165">
        <v>356504.89536000008</v>
      </c>
      <c r="H52" s="1136">
        <f t="shared" ref="H52:H58" si="28">SUM(E52:G52)</f>
        <v>20258465.341588713</v>
      </c>
      <c r="I52" s="1237">
        <v>23</v>
      </c>
      <c r="J52" s="1279" t="s">
        <v>1</v>
      </c>
      <c r="K52" s="1239">
        <f t="shared" ref="K52:K58" si="29">+H52/I52</f>
        <v>880802.84093863971</v>
      </c>
      <c r="L52" s="1231">
        <f>+'ข้อมูล ต.3-505,708,709ไป สนน.'!A53</f>
        <v>600</v>
      </c>
      <c r="M52" s="1164" t="str">
        <f>+'ข้อมูล ต.3-505,708,709ไป สนน.'!B53</f>
        <v>งานติดตามความก้าวหน้าแผนงาน/คก.</v>
      </c>
      <c r="N52" s="1235">
        <f>+'ข้อมูล ต.3-505,708,709ไป สนน.'!C53</f>
        <v>19785703.287456006</v>
      </c>
      <c r="O52" s="1235">
        <f>+'ข้อมูล ต.3-505,708,709ไป สนน.'!D53</f>
        <v>1058859.1321444102</v>
      </c>
      <c r="P52" s="1235">
        <f>+'ข้อมูล ต.3-505,708,709ไป สนน.'!E53</f>
        <v>629867.6725440002</v>
      </c>
      <c r="Q52" s="1236">
        <f t="shared" ref="Q52:Q58" si="30">SUM(N52:P52)</f>
        <v>21474430.092144415</v>
      </c>
      <c r="R52" s="1237">
        <f>+'ข้อมูล ต.3-505,708,709ไป สนน.'!G53</f>
        <v>21</v>
      </c>
      <c r="S52" s="1235" t="str">
        <f>+'ข้อมูล ต.3-505,708,709ไป สนน.'!H53</f>
        <v>เรื่อง</v>
      </c>
      <c r="T52" s="1239">
        <f t="shared" ref="T52:T58" si="31">+Q52/R52</f>
        <v>1022591.9091497341</v>
      </c>
      <c r="U52" s="1146">
        <f t="shared" ref="U52:U58" si="32">+Q52/H52*100-100</f>
        <v>6.0022550082282891</v>
      </c>
      <c r="V52" s="1147">
        <f t="shared" ref="V52:V58" si="33">+R52/I52*100-100</f>
        <v>-8.6956521739130466</v>
      </c>
      <c r="W52" s="1148">
        <f t="shared" ref="W52:W58" si="34">+T52/K52*100-100</f>
        <v>16.097707866154806</v>
      </c>
      <c r="X52" s="741"/>
      <c r="AA52" s="1258">
        <v>600</v>
      </c>
      <c r="AB52" s="1150" t="s">
        <v>147</v>
      </c>
      <c r="AC52" s="1151">
        <v>17</v>
      </c>
      <c r="AD52" s="1152" t="s">
        <v>1</v>
      </c>
    </row>
    <row r="53" spans="1:30" s="741" customFormat="1" ht="43.5" x14ac:dyDescent="0.2">
      <c r="A53" s="1240">
        <v>601</v>
      </c>
      <c r="B53" s="1172" t="s">
        <v>148</v>
      </c>
      <c r="C53" s="1173">
        <v>601</v>
      </c>
      <c r="D53" s="1173" t="s">
        <v>148</v>
      </c>
      <c r="E53" s="1259">
        <v>12774228.460927496</v>
      </c>
      <c r="F53" s="1260">
        <v>1062648.1090038037</v>
      </c>
      <c r="G53" s="1260">
        <v>247860.7194</v>
      </c>
      <c r="H53" s="1159">
        <f t="shared" si="28"/>
        <v>14084737.289331298</v>
      </c>
      <c r="I53" s="753">
        <v>6</v>
      </c>
      <c r="J53" s="1280" t="s">
        <v>1</v>
      </c>
      <c r="K53" s="1168">
        <f t="shared" si="29"/>
        <v>2347456.2148885499</v>
      </c>
      <c r="L53" s="1231">
        <f>+'ข้อมูล ต.3-505,708,709ไป สนน.'!A54</f>
        <v>601</v>
      </c>
      <c r="M53" s="1164" t="str">
        <f>+'ข้อมูล ต.3-505,708,709ไป สนน.'!B54</f>
        <v>งานประเมินผลสัมฤทธิ์แผนงาน/คก.</v>
      </c>
      <c r="N53" s="1235">
        <f>+'ข้อมูล ต.3-505,708,709ไป สนน.'!C54</f>
        <v>13756048.554990003</v>
      </c>
      <c r="O53" s="1235">
        <f>+'ข้อมูล ต.3-505,708,709ไป สนน.'!D54</f>
        <v>736173.86367598281</v>
      </c>
      <c r="P53" s="1235">
        <f>+'ข้อมูล ต.3-505,708,709ไป สนน.'!E54</f>
        <v>437916.72001000011</v>
      </c>
      <c r="Q53" s="1166">
        <f t="shared" si="30"/>
        <v>14930139.138675986</v>
      </c>
      <c r="R53" s="1237">
        <f>+'ข้อมูล ต.3-505,708,709ไป สนน.'!G54</f>
        <v>10</v>
      </c>
      <c r="S53" s="1235" t="str">
        <f>+'ข้อมูล ต.3-505,708,709ไป สนน.'!H54</f>
        <v>เรื่อง</v>
      </c>
      <c r="T53" s="1168">
        <f t="shared" si="31"/>
        <v>1493013.9138675986</v>
      </c>
      <c r="U53" s="1169">
        <f t="shared" si="32"/>
        <v>6.0022550082283033</v>
      </c>
      <c r="V53" s="1170">
        <f t="shared" si="33"/>
        <v>66.666666666666686</v>
      </c>
      <c r="W53" s="1171">
        <f t="shared" si="34"/>
        <v>-36.398646995063025</v>
      </c>
      <c r="AA53" s="1258">
        <v>601</v>
      </c>
      <c r="AB53" s="1150" t="s">
        <v>148</v>
      </c>
      <c r="AC53" s="1151">
        <v>8</v>
      </c>
      <c r="AD53" s="1152" t="s">
        <v>1</v>
      </c>
    </row>
    <row r="54" spans="1:30" s="741" customFormat="1" ht="48" customHeight="1" x14ac:dyDescent="0.2">
      <c r="A54" s="1240">
        <v>602</v>
      </c>
      <c r="B54" s="1172" t="s">
        <v>149</v>
      </c>
      <c r="C54" s="1173">
        <v>602</v>
      </c>
      <c r="D54" s="1173" t="s">
        <v>149</v>
      </c>
      <c r="E54" s="1259">
        <v>3996953.7135584992</v>
      </c>
      <c r="F54" s="1260">
        <v>332494.07731199154</v>
      </c>
      <c r="G54" s="1260">
        <v>77553.632760000008</v>
      </c>
      <c r="H54" s="1159">
        <f t="shared" si="28"/>
        <v>4407001.4236304909</v>
      </c>
      <c r="I54" s="753">
        <v>3</v>
      </c>
      <c r="J54" s="1280" t="s">
        <v>1</v>
      </c>
      <c r="K54" s="1168">
        <f t="shared" si="29"/>
        <v>1469000.474543497</v>
      </c>
      <c r="L54" s="1231">
        <f>+'ข้อมูล ต.3-505,708,709ไป สนน.'!A55</f>
        <v>602</v>
      </c>
      <c r="M54" s="1164" t="str">
        <f>+'ข้อมูล ต.3-505,708,709ไป สนน.'!B55</f>
        <v>งานศึกษา พัฒนาเทคนิคการติดตามและประเมินผล</v>
      </c>
      <c r="N54" s="1235">
        <f>+'ข้อมูล ต.3-505,708,709ไป สนน.'!C55</f>
        <v>4304157.3527460005</v>
      </c>
      <c r="O54" s="1235">
        <f>+'ข้อมูล ต.3-505,708,709ไป สนน.'!D55</f>
        <v>230342.90229304272</v>
      </c>
      <c r="P54" s="1235">
        <f>+'ข้อมูล ต.3-505,708,709ไป สนน.'!E55</f>
        <v>137020.63225400005</v>
      </c>
      <c r="Q54" s="1166">
        <f t="shared" si="30"/>
        <v>4671520.8872930426</v>
      </c>
      <c r="R54" s="1237">
        <f>+'ข้อมูล ต.3-505,708,709ไป สนน.'!G55</f>
        <v>3</v>
      </c>
      <c r="S54" s="1235" t="str">
        <f>+'ข้อมูล ต.3-505,708,709ไป สนน.'!H55</f>
        <v>เรื่อง</v>
      </c>
      <c r="T54" s="1168">
        <f t="shared" si="31"/>
        <v>1557173.6290976808</v>
      </c>
      <c r="U54" s="1169">
        <f t="shared" si="32"/>
        <v>6.0022550082282606</v>
      </c>
      <c r="V54" s="1170">
        <f t="shared" si="33"/>
        <v>0</v>
      </c>
      <c r="W54" s="1171">
        <f t="shared" si="34"/>
        <v>6.0022550082282464</v>
      </c>
      <c r="AA54" s="1258">
        <v>602</v>
      </c>
      <c r="AB54" s="1150" t="s">
        <v>149</v>
      </c>
      <c r="AC54" s="1151">
        <v>3</v>
      </c>
      <c r="AD54" s="1152" t="s">
        <v>1</v>
      </c>
    </row>
    <row r="55" spans="1:30" s="741" customFormat="1" ht="48" customHeight="1" thickBot="1" x14ac:dyDescent="0.25">
      <c r="A55" s="1153">
        <v>603</v>
      </c>
      <c r="B55" s="1172" t="s">
        <v>209</v>
      </c>
      <c r="C55" s="1173">
        <v>603</v>
      </c>
      <c r="D55" s="1173" t="s">
        <v>209</v>
      </c>
      <c r="E55" s="1259">
        <v>3988051.8121919995</v>
      </c>
      <c r="F55" s="1260">
        <v>331753.55598167528</v>
      </c>
      <c r="G55" s="1260">
        <v>77380.907520000008</v>
      </c>
      <c r="H55" s="1159">
        <f t="shared" si="28"/>
        <v>4397186.2756936746</v>
      </c>
      <c r="I55" s="753">
        <v>3</v>
      </c>
      <c r="J55" s="1280" t="s">
        <v>1</v>
      </c>
      <c r="K55" s="1168">
        <f t="shared" si="29"/>
        <v>1465728.7585645581</v>
      </c>
      <c r="L55" s="1231">
        <f>+'ข้อมูล ต.3-505,708,709ไป สนน.'!A56</f>
        <v>603</v>
      </c>
      <c r="M55" s="1164" t="str">
        <f>+'ข้อมูล ต.3-505,708,709ไป สนน.'!B56</f>
        <v>ติดตามประเมินผล ภายใต้นโยบายสำคัญของ กษ.</v>
      </c>
      <c r="N55" s="1235">
        <f>+'ข้อมูล ต.3-505,708,709ไป สนน.'!C56</f>
        <v>4294571.2561920015</v>
      </c>
      <c r="O55" s="1235">
        <f>+'ข้อมูล ต.3-505,708,709ไป สนน.'!D56</f>
        <v>229829.88914762394</v>
      </c>
      <c r="P55" s="1235">
        <f>+'ข้อมูล ต.3-505,708,709ไป สนน.'!E56</f>
        <v>136715.46380800006</v>
      </c>
      <c r="Q55" s="1166">
        <f t="shared" si="30"/>
        <v>4661116.609147626</v>
      </c>
      <c r="R55" s="1237">
        <f>+'ข้อมูล ต.3-505,708,709ไป สนน.'!G56</f>
        <v>3</v>
      </c>
      <c r="S55" s="1235" t="str">
        <f>+'ข้อมูล ต.3-505,708,709ไป สนน.'!H56</f>
        <v>เรื่อง</v>
      </c>
      <c r="T55" s="1168">
        <f t="shared" si="31"/>
        <v>1553705.536382542</v>
      </c>
      <c r="U55" s="1169">
        <f t="shared" si="32"/>
        <v>6.0022550082283033</v>
      </c>
      <c r="V55" s="1170">
        <f t="shared" si="33"/>
        <v>0</v>
      </c>
      <c r="W55" s="1171">
        <f t="shared" si="34"/>
        <v>6.0022550082283033</v>
      </c>
      <c r="AA55" s="1281">
        <v>603</v>
      </c>
      <c r="AB55" s="1282" t="s">
        <v>209</v>
      </c>
      <c r="AC55" s="1263">
        <v>12</v>
      </c>
      <c r="AD55" s="1264" t="s">
        <v>1</v>
      </c>
    </row>
    <row r="56" spans="1:30" s="741" customFormat="1" ht="65.25" x14ac:dyDescent="0.2">
      <c r="A56" s="1153">
        <v>604</v>
      </c>
      <c r="B56" s="1172" t="s">
        <v>317</v>
      </c>
      <c r="C56" s="1173">
        <v>604</v>
      </c>
      <c r="D56" s="1173" t="s">
        <v>317</v>
      </c>
      <c r="E56" s="1156">
        <v>3569662.4479664988</v>
      </c>
      <c r="F56" s="1260">
        <v>296949.05345681199</v>
      </c>
      <c r="G56" s="1283">
        <v>69262.821240000005</v>
      </c>
      <c r="H56" s="1159">
        <f t="shared" si="28"/>
        <v>3935874.3226633109</v>
      </c>
      <c r="I56" s="753">
        <v>1</v>
      </c>
      <c r="J56" s="1280" t="s">
        <v>1</v>
      </c>
      <c r="K56" s="1168">
        <f t="shared" si="29"/>
        <v>3935874.3226633109</v>
      </c>
      <c r="L56" s="1231">
        <f>+'ข้อมูล ต.3-505,708,709ไป สนน.'!A57</f>
        <v>604</v>
      </c>
      <c r="M56" s="1164" t="str">
        <f>+'ข้อมูล ต.3-505,708,709ไป สนน.'!B57</f>
        <v>ศึกษา และติดตามระบบส่งเสริมการเกษตรแปลงใหญ่***</v>
      </c>
      <c r="N56" s="1235">
        <f>+'ข้อมูล ต.3-505,708,709ไป สนน.'!C57</f>
        <v>3844024.7181540006</v>
      </c>
      <c r="O56" s="1235">
        <f>+'ข้อมูล ต.3-505,708,709ไป สนน.'!D57</f>
        <v>205718.27131294017</v>
      </c>
      <c r="P56" s="1235">
        <f>+'ข้อมูล ต.3-505,708,709ไป สนน.'!E57</f>
        <v>122372.54684600003</v>
      </c>
      <c r="Q56" s="1166">
        <f t="shared" si="30"/>
        <v>4172115.536312941</v>
      </c>
      <c r="R56" s="1237">
        <f>+'ข้อมูล ต.3-505,708,709ไป สนน.'!G57</f>
        <v>1</v>
      </c>
      <c r="S56" s="1235" t="str">
        <f>+'ข้อมูล ต.3-505,708,709ไป สนน.'!H57</f>
        <v>เรื่อง</v>
      </c>
      <c r="T56" s="1168">
        <f t="shared" si="31"/>
        <v>4172115.536312941</v>
      </c>
      <c r="U56" s="1169">
        <f t="shared" si="32"/>
        <v>6.0022550082282891</v>
      </c>
      <c r="V56" s="1170">
        <f t="shared" si="33"/>
        <v>0</v>
      </c>
      <c r="W56" s="1171">
        <f t="shared" si="34"/>
        <v>6.0022550082282891</v>
      </c>
      <c r="AA56" s="1284"/>
      <c r="AB56" s="1179"/>
      <c r="AC56" s="1180"/>
      <c r="AD56" s="1181"/>
    </row>
    <row r="57" spans="1:30" s="741" customFormat="1" ht="72.75" customHeight="1" x14ac:dyDescent="0.2">
      <c r="A57" s="1153">
        <v>605</v>
      </c>
      <c r="B57" s="1172" t="s">
        <v>318</v>
      </c>
      <c r="C57" s="1173">
        <v>605</v>
      </c>
      <c r="D57" s="1173" t="s">
        <v>318</v>
      </c>
      <c r="E57" s="1156">
        <v>903542.98869974969</v>
      </c>
      <c r="F57" s="1260">
        <v>75162.915027098294</v>
      </c>
      <c r="G57" s="1283">
        <v>17531.611860000001</v>
      </c>
      <c r="H57" s="1159">
        <f t="shared" si="28"/>
        <v>996237.51558684791</v>
      </c>
      <c r="I57" s="753">
        <v>1</v>
      </c>
      <c r="J57" s="1280" t="s">
        <v>1</v>
      </c>
      <c r="K57" s="1168">
        <f t="shared" si="29"/>
        <v>996237.51558684791</v>
      </c>
      <c r="L57" s="1231">
        <f>+'ข้อมูล ต.3-505,708,709ไป สนน.'!A58</f>
        <v>605</v>
      </c>
      <c r="M57" s="1164" t="str">
        <f>+'ข้อมูล ต.3-505,708,709ไป สนน.'!B58</f>
        <v>ติดตามประเมินผลการดำเนินงานโครงการธนาคารสินค้าเกษตร***</v>
      </c>
      <c r="N57" s="1235">
        <f>+'ข้อมูล ต.3-505,708,709ไป สนน.'!C58</f>
        <v>972988.80023100018</v>
      </c>
      <c r="O57" s="1235">
        <f>+'ข้อมูล ต.3-505,708,709ไป สนน.'!D58</f>
        <v>52070.834260008538</v>
      </c>
      <c r="P57" s="1235">
        <f>+'ข้อมูล ต.3-505,708,709ไป สนน.'!E58</f>
        <v>30974.597269000005</v>
      </c>
      <c r="Q57" s="1166">
        <f t="shared" si="30"/>
        <v>1056034.2317600087</v>
      </c>
      <c r="R57" s="1237">
        <f>+'ข้อมูล ต.3-505,708,709ไป สนน.'!G58</f>
        <v>1</v>
      </c>
      <c r="S57" s="1235" t="str">
        <f>+'ข้อมูล ต.3-505,708,709ไป สนน.'!H58</f>
        <v>เรื่อง</v>
      </c>
      <c r="T57" s="1168">
        <f t="shared" si="31"/>
        <v>1056034.2317600087</v>
      </c>
      <c r="U57" s="1169">
        <f t="shared" si="32"/>
        <v>6.0022550082283033</v>
      </c>
      <c r="V57" s="1170">
        <f t="shared" si="33"/>
        <v>0</v>
      </c>
      <c r="W57" s="1171">
        <f t="shared" si="34"/>
        <v>6.0022550082283033</v>
      </c>
      <c r="AA57" s="1284"/>
      <c r="AB57" s="1179"/>
      <c r="AC57" s="1180"/>
      <c r="AD57" s="1181"/>
    </row>
    <row r="58" spans="1:30" s="741" customFormat="1" ht="66" thickBot="1" x14ac:dyDescent="0.25">
      <c r="A58" s="1285">
        <v>606</v>
      </c>
      <c r="B58" s="1183" t="s">
        <v>316</v>
      </c>
      <c r="C58" s="1184">
        <v>606</v>
      </c>
      <c r="D58" s="1184" t="s">
        <v>316</v>
      </c>
      <c r="E58" s="1185">
        <v>903542.98869974969</v>
      </c>
      <c r="F58" s="1286">
        <v>75162.915027098294</v>
      </c>
      <c r="G58" s="1287">
        <v>17531.611860000001</v>
      </c>
      <c r="H58" s="1188">
        <f t="shared" si="28"/>
        <v>996237.51558684791</v>
      </c>
      <c r="I58" s="1247">
        <v>1</v>
      </c>
      <c r="J58" s="1288" t="s">
        <v>1</v>
      </c>
      <c r="K58" s="1196">
        <f t="shared" si="29"/>
        <v>996237.51558684791</v>
      </c>
      <c r="L58" s="1212">
        <f>+'ข้อมูล ต.3-505,708,709ไป สนน.'!A59</f>
        <v>606</v>
      </c>
      <c r="M58" s="1193" t="str">
        <f>+'ข้อมูล ต.3-505,708,709ไป สนน.'!B59</f>
        <v>ติดตามประเมินผลโครงการส่งเสริมเกษตรทฤษฎีใหม่***</v>
      </c>
      <c r="N58" s="1222">
        <f>+'ข้อมูล ต.3-505,708,709ไป สนน.'!C59</f>
        <v>972988.80023100018</v>
      </c>
      <c r="O58" s="1222">
        <f>+'ข้อมูล ต.3-505,708,709ไป สนน.'!D59</f>
        <v>52070.834260008538</v>
      </c>
      <c r="P58" s="1222">
        <f>+'ข้อมูล ต.3-505,708,709ไป สนน.'!E59</f>
        <v>30974.597269000005</v>
      </c>
      <c r="Q58" s="1195">
        <f t="shared" si="30"/>
        <v>1056034.2317600087</v>
      </c>
      <c r="R58" s="1224">
        <f>+'ข้อมูล ต.3-505,708,709ไป สนน.'!G59</f>
        <v>1</v>
      </c>
      <c r="S58" s="1222" t="str">
        <f>+'ข้อมูล ต.3-505,708,709ไป สนน.'!H59</f>
        <v>เรื่อง</v>
      </c>
      <c r="T58" s="1196">
        <f t="shared" si="31"/>
        <v>1056034.2317600087</v>
      </c>
      <c r="U58" s="1197">
        <f t="shared" si="32"/>
        <v>6.0022550082283033</v>
      </c>
      <c r="V58" s="1198">
        <f t="shared" si="33"/>
        <v>0</v>
      </c>
      <c r="W58" s="1199">
        <f t="shared" si="34"/>
        <v>6.0022550082283033</v>
      </c>
      <c r="AA58" s="1284"/>
      <c r="AB58" s="1179"/>
      <c r="AC58" s="1180"/>
      <c r="AD58" s="1181"/>
    </row>
    <row r="59" spans="1:30" s="1129" customFormat="1" ht="29.25" customHeight="1" x14ac:dyDescent="0.2">
      <c r="A59" s="1229" t="s">
        <v>196</v>
      </c>
      <c r="B59" s="1114"/>
      <c r="C59" s="1115"/>
      <c r="D59" s="1115"/>
      <c r="E59" s="1229">
        <f>SUM(E60:E63)</f>
        <v>216939492.08999997</v>
      </c>
      <c r="F59" s="1117">
        <f t="shared" ref="F59:H59" si="35">SUM(F60:F63)</f>
        <v>15464917.847008547</v>
      </c>
      <c r="G59" s="1117">
        <f t="shared" si="35"/>
        <v>8800687.75</v>
      </c>
      <c r="H59" s="1117">
        <f t="shared" si="35"/>
        <v>241205097.68700853</v>
      </c>
      <c r="I59" s="1289"/>
      <c r="J59" s="1203"/>
      <c r="K59" s="1230"/>
      <c r="L59" s="1229" t="s">
        <v>253</v>
      </c>
      <c r="M59" s="1206"/>
      <c r="N59" s="1117">
        <f>SUM(N60:N63)</f>
        <v>226602965.49999997</v>
      </c>
      <c r="O59" s="1117">
        <f>SUM(O60:O63)</f>
        <v>12257740.130299143</v>
      </c>
      <c r="P59" s="1117">
        <f>SUM(P60:P63)</f>
        <v>11206166.890000001</v>
      </c>
      <c r="Q59" s="1117">
        <f>SUM(Q60:Q63)</f>
        <v>250066872.52029911</v>
      </c>
      <c r="R59" s="1123"/>
      <c r="S59" s="1124"/>
      <c r="T59" s="1125"/>
      <c r="U59" s="1209"/>
      <c r="V59" s="1211"/>
      <c r="W59" s="1290"/>
    </row>
    <row r="60" spans="1:30" s="741" customFormat="1" ht="65.25" x14ac:dyDescent="0.2">
      <c r="A60" s="1231">
        <v>400</v>
      </c>
      <c r="B60" s="1232" t="s">
        <v>2</v>
      </c>
      <c r="C60" s="1233">
        <v>400</v>
      </c>
      <c r="D60" s="1233" t="s">
        <v>2</v>
      </c>
      <c r="E60" s="1278">
        <v>32540923.813499998</v>
      </c>
      <c r="F60" s="1165">
        <v>2319737.677051282</v>
      </c>
      <c r="G60" s="1165">
        <v>1320103.1625000001</v>
      </c>
      <c r="H60" s="1136">
        <f>SUM(E60:G60)</f>
        <v>36180764.653051279</v>
      </c>
      <c r="I60" s="1237">
        <v>18</v>
      </c>
      <c r="J60" s="1279" t="s">
        <v>1</v>
      </c>
      <c r="K60" s="1239">
        <f>+H60/I60</f>
        <v>2010042.4807250712</v>
      </c>
      <c r="L60" s="1231">
        <f>+'ข้อมูล ต.3-505,708,709ไป สนน.'!A61</f>
        <v>400</v>
      </c>
      <c r="M60" s="1164" t="str">
        <f>+'ข้อมูล ต.3-505,708,709ไป สนน.'!B61</f>
        <v>จัดทำแนวทางการพัฒนาการเกษตรระดับจังหวัดและกลุ่มจังหวัด</v>
      </c>
      <c r="N60" s="1235">
        <f>+'ข้อมูล ต.3-505,708,709ไป สนน.'!C61</f>
        <v>33990444.824999996</v>
      </c>
      <c r="O60" s="1235">
        <f>+'ข้อมูล ต.3-505,708,709ไป สนน.'!D61</f>
        <v>1838661.0195448715</v>
      </c>
      <c r="P60" s="1235">
        <f>+'ข้อมูล ต.3-505,708,709ไป สนน.'!E61</f>
        <v>1680925.0335000001</v>
      </c>
      <c r="Q60" s="1236">
        <f>SUM(N60:P60)</f>
        <v>37510030.878044866</v>
      </c>
      <c r="R60" s="1237">
        <f>+'ข้อมูล ต.3-505,708,709ไป สนน.'!G61</f>
        <v>18</v>
      </c>
      <c r="S60" s="1235" t="str">
        <f>+'ข้อมูล ต.3-505,708,709ไป สนน.'!H61</f>
        <v>เรื่อง</v>
      </c>
      <c r="T60" s="1239">
        <f>+Q60/R60</f>
        <v>2083890.6043358259</v>
      </c>
      <c r="U60" s="1146">
        <f t="shared" ref="U60:V63" si="36">+Q60/H60*100-100</f>
        <v>3.673958352567567</v>
      </c>
      <c r="V60" s="1147">
        <f t="shared" si="36"/>
        <v>0</v>
      </c>
      <c r="W60" s="1148">
        <f>+T60/K60*100-100</f>
        <v>3.6739583525675386</v>
      </c>
      <c r="AA60" s="1149">
        <v>400</v>
      </c>
      <c r="AB60" s="1150" t="s">
        <v>2</v>
      </c>
      <c r="AC60" s="1151">
        <v>11</v>
      </c>
      <c r="AD60" s="1152" t="s">
        <v>1</v>
      </c>
    </row>
    <row r="61" spans="1:30" s="741" customFormat="1" ht="65.25" x14ac:dyDescent="0.2">
      <c r="A61" s="1240">
        <v>401</v>
      </c>
      <c r="B61" s="1172" t="s">
        <v>3</v>
      </c>
      <c r="C61" s="1173">
        <v>401</v>
      </c>
      <c r="D61" s="1173" t="s">
        <v>3</v>
      </c>
      <c r="E61" s="1259">
        <v>21693949.209000003</v>
      </c>
      <c r="F61" s="1260">
        <v>1546491.7847008549</v>
      </c>
      <c r="G61" s="1260">
        <v>880068.77500000002</v>
      </c>
      <c r="H61" s="1159">
        <f>SUM(E61:G61)</f>
        <v>24120509.768700857</v>
      </c>
      <c r="I61" s="753">
        <v>12</v>
      </c>
      <c r="J61" s="1280" t="s">
        <v>1</v>
      </c>
      <c r="K61" s="1168">
        <f>+H61/I61</f>
        <v>2010042.4807250714</v>
      </c>
      <c r="L61" s="1231">
        <f>+'ข้อมูล ต.3-505,708,709ไป สนน.'!A62</f>
        <v>401</v>
      </c>
      <c r="M61" s="1164" t="str">
        <f>+'ข้อมูล ต.3-505,708,709ไป สนน.'!B62</f>
        <v>ศึกษา วิเคราะห์ วิจัยเศรษฐกิจการเกษตรระดับพื้นที่</v>
      </c>
      <c r="N61" s="1235">
        <f>+'ข้อมูล ต.3-505,708,709ไป สนน.'!C62</f>
        <v>22660296.549999997</v>
      </c>
      <c r="O61" s="1235">
        <f>+'ข้อมูล ต.3-505,708,709ไป สนน.'!D62</f>
        <v>1225774.0130299143</v>
      </c>
      <c r="P61" s="1235">
        <f>+'ข้อมูล ต.3-505,708,709ไป สนน.'!E62</f>
        <v>1120616.689</v>
      </c>
      <c r="Q61" s="1166">
        <f>SUM(N61:P61)</f>
        <v>25006687.252029911</v>
      </c>
      <c r="R61" s="1237">
        <f>+'ข้อมูล ต.3-505,708,709ไป สนน.'!G62</f>
        <v>12</v>
      </c>
      <c r="S61" s="1235" t="str">
        <f>+'ข้อมูล ต.3-505,708,709ไป สนน.'!H62</f>
        <v>เรื่อง</v>
      </c>
      <c r="T61" s="1168">
        <f>+Q61/R61</f>
        <v>2083890.6043358259</v>
      </c>
      <c r="U61" s="1169">
        <f t="shared" si="36"/>
        <v>3.6739583525675386</v>
      </c>
      <c r="V61" s="1170">
        <f t="shared" si="36"/>
        <v>0</v>
      </c>
      <c r="W61" s="1171">
        <f>+T61/K61*100-100</f>
        <v>3.6739583525675386</v>
      </c>
      <c r="AA61" s="1149">
        <v>401</v>
      </c>
      <c r="AB61" s="1150" t="s">
        <v>3</v>
      </c>
      <c r="AC61" s="1151">
        <v>11</v>
      </c>
      <c r="AD61" s="1152" t="s">
        <v>1</v>
      </c>
    </row>
    <row r="62" spans="1:30" s="741" customFormat="1" ht="65.25" x14ac:dyDescent="0.2">
      <c r="A62" s="1240">
        <v>402</v>
      </c>
      <c r="B62" s="1172" t="s">
        <v>4</v>
      </c>
      <c r="C62" s="1173">
        <v>402</v>
      </c>
      <c r="D62" s="1173" t="s">
        <v>4</v>
      </c>
      <c r="E62" s="1259">
        <v>130163695.25399999</v>
      </c>
      <c r="F62" s="1260">
        <v>9278950.7082051281</v>
      </c>
      <c r="G62" s="1260">
        <v>5280412.6500000004</v>
      </c>
      <c r="H62" s="1159">
        <f>SUM(E62:G62)</f>
        <v>144723058.61220512</v>
      </c>
      <c r="I62" s="753">
        <v>5</v>
      </c>
      <c r="J62" s="1280" t="s">
        <v>6</v>
      </c>
      <c r="K62" s="1168">
        <f>+H62/I62</f>
        <v>28944611.722441025</v>
      </c>
      <c r="L62" s="1231">
        <f>+'ข้อมูล ต.3-505,708,709ไป สนน.'!A63</f>
        <v>402</v>
      </c>
      <c r="M62" s="1164" t="str">
        <f>+'ข้อมูล ต.3-505,708,709ไป สนน.'!B63</f>
        <v>จัดทำและเผยแพร่ข้อมูลสารสนเทศการเกษตรระดับภูมิภาค</v>
      </c>
      <c r="N62" s="1235">
        <f>+'ข้อมูล ต.3-505,708,709ไป สนน.'!C63</f>
        <v>135961779.29999998</v>
      </c>
      <c r="O62" s="1235">
        <f>+'ข้อมูล ต.3-505,708,709ไป สนน.'!D63</f>
        <v>7354644.0781794861</v>
      </c>
      <c r="P62" s="1235">
        <f>+'ข้อมูล ต.3-505,708,709ไป สนน.'!E63</f>
        <v>6723700.1340000005</v>
      </c>
      <c r="Q62" s="1166">
        <f>SUM(N62:P62)</f>
        <v>150040123.51217946</v>
      </c>
      <c r="R62" s="1237">
        <f>+'ข้อมูล ต.3-505,708,709ไป สนน.'!G63</f>
        <v>5</v>
      </c>
      <c r="S62" s="1235" t="str">
        <f>+'ข้อมูล ต.3-505,708,709ไป สนน.'!H63</f>
        <v>ระบบ</v>
      </c>
      <c r="T62" s="1168">
        <f>+Q62/R62</f>
        <v>30008024.702435892</v>
      </c>
      <c r="U62" s="1169">
        <f t="shared" si="36"/>
        <v>3.673958352567567</v>
      </c>
      <c r="V62" s="1170">
        <f t="shared" si="36"/>
        <v>0</v>
      </c>
      <c r="W62" s="1171">
        <f>+T62/K62*100-100</f>
        <v>3.6739583525675386</v>
      </c>
      <c r="AA62" s="1149">
        <v>402</v>
      </c>
      <c r="AB62" s="1150" t="s">
        <v>4</v>
      </c>
      <c r="AC62" s="1151">
        <v>5</v>
      </c>
      <c r="AD62" s="1152" t="s">
        <v>6</v>
      </c>
    </row>
    <row r="63" spans="1:30" s="741" customFormat="1" ht="70.5" customHeight="1" thickBot="1" x14ac:dyDescent="0.25">
      <c r="A63" s="1243">
        <v>403</v>
      </c>
      <c r="B63" s="1183" t="s">
        <v>5</v>
      </c>
      <c r="C63" s="1184">
        <v>403</v>
      </c>
      <c r="D63" s="1184" t="s">
        <v>5</v>
      </c>
      <c r="E63" s="1291">
        <v>32540923.813499998</v>
      </c>
      <c r="F63" s="1286">
        <v>2319737.677051282</v>
      </c>
      <c r="G63" s="1286">
        <v>1320103.1625000001</v>
      </c>
      <c r="H63" s="1188">
        <f>SUM(E63:G63)</f>
        <v>36180764.653051279</v>
      </c>
      <c r="I63" s="1247">
        <v>36</v>
      </c>
      <c r="J63" s="1288" t="s">
        <v>1</v>
      </c>
      <c r="K63" s="1196">
        <f>+H63/I63</f>
        <v>1005021.2403625356</v>
      </c>
      <c r="L63" s="1212">
        <f>+'ข้อมูล ต.3-505,708,709ไป สนน.'!A64</f>
        <v>403</v>
      </c>
      <c r="M63" s="1193" t="str">
        <f>+'ข้อมูล ต.3-505,708,709ไป สนน.'!B64</f>
        <v>ติดตามและประเมินผลการพัฒนาการเกษตรระดับจังหวัดและกลุ่มจังหวัด</v>
      </c>
      <c r="N63" s="1222">
        <f>+'ข้อมูล ต.3-505,708,709ไป สนน.'!C64</f>
        <v>33990444.824999996</v>
      </c>
      <c r="O63" s="1222">
        <f>+'ข้อมูล ต.3-505,708,709ไป สนน.'!D64</f>
        <v>1838661.0195448715</v>
      </c>
      <c r="P63" s="1222">
        <f>+'ข้อมูล ต.3-505,708,709ไป สนน.'!E64</f>
        <v>1680925.0335000001</v>
      </c>
      <c r="Q63" s="1195">
        <f>SUM(N63:P63)</f>
        <v>37510030.878044866</v>
      </c>
      <c r="R63" s="1224">
        <f>+'ข้อมูล ต.3-505,708,709ไป สนน.'!G64</f>
        <v>36</v>
      </c>
      <c r="S63" s="1222" t="str">
        <f>+'ข้อมูล ต.3-505,708,709ไป สนน.'!H64</f>
        <v>เรื่อง</v>
      </c>
      <c r="T63" s="1196">
        <f>+Q63/R63</f>
        <v>1041945.3021679129</v>
      </c>
      <c r="U63" s="1197">
        <f t="shared" si="36"/>
        <v>3.673958352567567</v>
      </c>
      <c r="V63" s="1198">
        <f t="shared" si="36"/>
        <v>0</v>
      </c>
      <c r="W63" s="1199">
        <f>+T63/K63*100-100</f>
        <v>3.6739583525675386</v>
      </c>
      <c r="AA63" s="1292">
        <v>403</v>
      </c>
      <c r="AB63" s="1262" t="s">
        <v>5</v>
      </c>
      <c r="AC63" s="1263">
        <v>11</v>
      </c>
      <c r="AD63" s="1264" t="s">
        <v>1</v>
      </c>
    </row>
    <row r="64" spans="1:30" s="1300" customFormat="1" ht="28.5" customHeight="1" x14ac:dyDescent="0.2">
      <c r="A64" s="1520" t="s">
        <v>177</v>
      </c>
      <c r="B64" s="1521"/>
      <c r="C64" s="1293"/>
      <c r="D64" s="1293"/>
      <c r="E64" s="1229">
        <f>SUM(E65:E82)</f>
        <v>85167433.050155759</v>
      </c>
      <c r="F64" s="1117">
        <f t="shared" ref="F64:H64" si="37">SUM(F65:F82)</f>
        <v>5428169.1394509478</v>
      </c>
      <c r="G64" s="1117">
        <f t="shared" si="37"/>
        <v>12317057.870267579</v>
      </c>
      <c r="H64" s="1117">
        <f t="shared" si="37"/>
        <v>102912660.05987431</v>
      </c>
      <c r="I64" s="1289"/>
      <c r="J64" s="1294"/>
      <c r="K64" s="1295"/>
      <c r="L64" s="1518" t="s">
        <v>177</v>
      </c>
      <c r="M64" s="1519"/>
      <c r="N64" s="1294">
        <f>SUM(N65:N82)</f>
        <v>91147719.529915303</v>
      </c>
      <c r="O64" s="1294">
        <f>SUM(O65:O82)</f>
        <v>15054994.995294072</v>
      </c>
      <c r="P64" s="1294">
        <f>SUM(P65:P82)</f>
        <v>9988838.4577565566</v>
      </c>
      <c r="Q64" s="1294">
        <f>SUM(Q65:Q82)</f>
        <v>116191552.98296595</v>
      </c>
      <c r="R64" s="1123"/>
      <c r="S64" s="1296"/>
      <c r="T64" s="1121"/>
      <c r="U64" s="1297"/>
      <c r="V64" s="1298"/>
      <c r="W64" s="1299"/>
    </row>
    <row r="65" spans="1:30" ht="37.5" x14ac:dyDescent="0.2">
      <c r="A65" s="1231">
        <v>300</v>
      </c>
      <c r="B65" s="1232" t="s">
        <v>94</v>
      </c>
      <c r="C65" s="1233">
        <v>300</v>
      </c>
      <c r="D65" s="1233" t="s">
        <v>94</v>
      </c>
      <c r="E65" s="1301">
        <v>11241053.179809546</v>
      </c>
      <c r="F65" s="1302">
        <v>707065.07082279923</v>
      </c>
      <c r="G65" s="1303">
        <v>1447837.647185629</v>
      </c>
      <c r="H65" s="1136">
        <f t="shared" ref="H65:H81" si="38">SUM(E65:G65)</f>
        <v>13395955.897817975</v>
      </c>
      <c r="I65" s="1304">
        <v>23315</v>
      </c>
      <c r="J65" s="1305" t="s">
        <v>164</v>
      </c>
      <c r="K65" s="1139">
        <f t="shared" ref="K65:K81" si="39">+H65/I65</f>
        <v>574.56383863684221</v>
      </c>
      <c r="L65" s="1231">
        <f>+'ข้อมูล ต.3-505,708,709ไป สนน.'!A66</f>
        <v>300</v>
      </c>
      <c r="M65" s="1164" t="str">
        <f>+'ข้อมูล ต.3-505,708,709ไป สนน.'!B66</f>
        <v>งานด้านการเงินและบัญชี*</v>
      </c>
      <c r="N65" s="1235">
        <f>+'ข้อมูล ต.3-505,708,709ไป สนน.'!C66</f>
        <v>11305754.932439342</v>
      </c>
      <c r="O65" s="1235">
        <f>+'ข้อมูล ต.3-505,708,709ไป สนน.'!D66</f>
        <v>2129687.8061549701</v>
      </c>
      <c r="P65" s="1235">
        <f>+'ข้อมูล ต.3-505,708,709ไป สนน.'!E66</f>
        <v>1032482.3532450001</v>
      </c>
      <c r="Q65" s="1236">
        <f t="shared" ref="Q65:Q81" si="40">SUM(N65:P65)</f>
        <v>14467925.091839312</v>
      </c>
      <c r="R65" s="1237">
        <f>+'ข้อมูล ต.3-505,708,709ไป สนน.'!G66</f>
        <v>24282</v>
      </c>
      <c r="S65" s="1238" t="str">
        <f>+'ข้อมูล ต.3-505,708,709ไป สนน.'!H66</f>
        <v>จำนวนรายการเอกสาร</v>
      </c>
      <c r="T65" s="1239">
        <f t="shared" ref="T65:T81" si="41">+Q65/R65</f>
        <v>595.82921883861752</v>
      </c>
      <c r="U65" s="1146">
        <f t="shared" ref="U65:U81" si="42">+Q65/H65*100-100</f>
        <v>8.0021851534756649</v>
      </c>
      <c r="V65" s="1147">
        <f t="shared" ref="V65:V81" si="43">+R65/I65*100-100</f>
        <v>4.1475444992494062</v>
      </c>
      <c r="W65" s="1148">
        <f t="shared" ref="W65:W81" si="44">+T65/K65*100-100</f>
        <v>3.7011344556990622</v>
      </c>
      <c r="X65" s="741"/>
      <c r="AA65" s="1149">
        <v>300</v>
      </c>
      <c r="AB65" s="1306" t="s">
        <v>94</v>
      </c>
      <c r="AC65" s="1151">
        <v>46653</v>
      </c>
      <c r="AD65" s="1152" t="s">
        <v>164</v>
      </c>
    </row>
    <row r="66" spans="1:30" ht="34.5" customHeight="1" x14ac:dyDescent="0.2">
      <c r="A66" s="1240">
        <v>301</v>
      </c>
      <c r="B66" s="1172" t="s">
        <v>95</v>
      </c>
      <c r="C66" s="1173">
        <v>301</v>
      </c>
      <c r="D66" s="1173" t="s">
        <v>95</v>
      </c>
      <c r="E66" s="1307">
        <v>5620526.589904773</v>
      </c>
      <c r="F66" s="1308">
        <v>353532.53541139961</v>
      </c>
      <c r="G66" s="1309">
        <v>723918.8235928145</v>
      </c>
      <c r="H66" s="1159">
        <f t="shared" si="38"/>
        <v>6697977.9489089875</v>
      </c>
      <c r="I66" s="1310">
        <v>772</v>
      </c>
      <c r="J66" s="1311" t="s">
        <v>99</v>
      </c>
      <c r="K66" s="1162">
        <f t="shared" si="39"/>
        <v>8676.1372395194139</v>
      </c>
      <c r="L66" s="1231">
        <f>+'ข้อมูล ต.3-505,708,709ไป สนน.'!A67</f>
        <v>301</v>
      </c>
      <c r="M66" s="1164" t="str">
        <f>+'ข้อมูล ต.3-505,708,709ไป สนน.'!B67</f>
        <v>งานด้านการพัสดุ*</v>
      </c>
      <c r="N66" s="1235">
        <f>+'ข้อมูล ต.3-505,708,709ไป สนน.'!C67</f>
        <v>6085358.951448394</v>
      </c>
      <c r="O66" s="1235">
        <f>+'ข้อมูล ต.3-505,708,709ไป สนน.'!D67</f>
        <v>1146311.3106927567</v>
      </c>
      <c r="P66" s="1235">
        <f>+'ข้อมูล ต.3-505,708,709ไป สนน.'!E67</f>
        <v>555736.94707500003</v>
      </c>
      <c r="Q66" s="1166">
        <f t="shared" si="40"/>
        <v>7787407.2092161505</v>
      </c>
      <c r="R66" s="1237">
        <f>+'ข้อมูล ต.3-505,708,709ไป สนน.'!G67</f>
        <v>1114</v>
      </c>
      <c r="S66" s="1238" t="str">
        <f>+'ข้อมูล ต.3-505,708,709ไป สนน.'!H67</f>
        <v>จำนวนครั้งของการจัดซื้อจัดจ้าง</v>
      </c>
      <c r="T66" s="1168">
        <f t="shared" si="41"/>
        <v>6990.4912111455569</v>
      </c>
      <c r="U66" s="1169">
        <f t="shared" si="42"/>
        <v>16.265046983091608</v>
      </c>
      <c r="V66" s="1170">
        <f t="shared" si="43"/>
        <v>44.30051813471502</v>
      </c>
      <c r="W66" s="1171">
        <f t="shared" si="44"/>
        <v>-19.428531175092701</v>
      </c>
      <c r="X66" s="741"/>
      <c r="AA66" s="1149">
        <v>301</v>
      </c>
      <c r="AB66" s="1306" t="s">
        <v>95</v>
      </c>
      <c r="AC66" s="1151">
        <v>1367</v>
      </c>
      <c r="AD66" s="1152" t="s">
        <v>99</v>
      </c>
    </row>
    <row r="67" spans="1:30" ht="34.5" customHeight="1" x14ac:dyDescent="0.2">
      <c r="A67" s="1240">
        <v>302</v>
      </c>
      <c r="B67" s="1172" t="s">
        <v>96</v>
      </c>
      <c r="C67" s="1173">
        <v>302</v>
      </c>
      <c r="D67" s="1173" t="s">
        <v>96</v>
      </c>
      <c r="E67" s="1307">
        <v>3026437.3945641089</v>
      </c>
      <c r="F67" s="1308">
        <v>190363.67291383055</v>
      </c>
      <c r="G67" s="1309">
        <v>389802.44347305392</v>
      </c>
      <c r="H67" s="1159">
        <f t="shared" si="38"/>
        <v>3606603.5109509937</v>
      </c>
      <c r="I67" s="1312">
        <v>1490</v>
      </c>
      <c r="J67" s="1311" t="s">
        <v>118</v>
      </c>
      <c r="K67" s="1162">
        <f t="shared" si="39"/>
        <v>2420.5392690946269</v>
      </c>
      <c r="L67" s="1231">
        <f>+'ข้อมูล ต.3-505,708,709ไป สนน.'!A68</f>
        <v>302</v>
      </c>
      <c r="M67" s="1164" t="str">
        <f>+'ข้อมูล ต.3-505,708,709ไป สนน.'!B68</f>
        <v>งานด้านตรวจสอบภายใน*</v>
      </c>
      <c r="N67" s="1235">
        <f>+'ข้อมูล ต.3-505,708,709ไป สนน.'!C68</f>
        <v>3046506.7455049818</v>
      </c>
      <c r="O67" s="1235">
        <f>+'ข้อมูล ต.3-505,708,709ไป สนน.'!D68</f>
        <v>573876.60585624794</v>
      </c>
      <c r="P67" s="1235">
        <f>+'ข้อมูล ต.3-505,708,709ไป สนน.'!E68</f>
        <v>278217.99363000004</v>
      </c>
      <c r="Q67" s="1166">
        <f t="shared" si="40"/>
        <v>3898601.3449912299</v>
      </c>
      <c r="R67" s="1237">
        <f>+'ข้อมูล ต.3-505,708,709ไป สนน.'!G68</f>
        <v>1585</v>
      </c>
      <c r="S67" s="1238" t="str">
        <f>+'ข้อมูล ต.3-505,708,709ไป สนน.'!H68</f>
        <v>จำนวนงานตรวจสอบ/คนวัน</v>
      </c>
      <c r="T67" s="1168">
        <f t="shared" si="41"/>
        <v>2459.6853911616595</v>
      </c>
      <c r="U67" s="1169">
        <f t="shared" si="42"/>
        <v>8.0962000162652146</v>
      </c>
      <c r="V67" s="1170">
        <f t="shared" si="43"/>
        <v>6.3758389261745094</v>
      </c>
      <c r="W67" s="1171">
        <f t="shared" si="44"/>
        <v>1.6172479648171532</v>
      </c>
      <c r="X67" s="741"/>
      <c r="AA67" s="1149">
        <v>302</v>
      </c>
      <c r="AB67" s="1306" t="s">
        <v>96</v>
      </c>
      <c r="AC67" s="1151">
        <v>1260</v>
      </c>
      <c r="AD67" s="1152" t="s">
        <v>118</v>
      </c>
    </row>
    <row r="68" spans="1:30" x14ac:dyDescent="0.2">
      <c r="A68" s="1240">
        <v>303</v>
      </c>
      <c r="B68" s="1172" t="s">
        <v>97</v>
      </c>
      <c r="C68" s="1173">
        <v>303</v>
      </c>
      <c r="D68" s="1173" t="s">
        <v>97</v>
      </c>
      <c r="E68" s="1307">
        <v>5188178.3906813292</v>
      </c>
      <c r="F68" s="1308">
        <v>326337.72499513807</v>
      </c>
      <c r="G68" s="1309">
        <v>668232.76023952104</v>
      </c>
      <c r="H68" s="1159">
        <f t="shared" si="38"/>
        <v>6182748.8759159883</v>
      </c>
      <c r="I68" s="1312">
        <v>976</v>
      </c>
      <c r="J68" s="1311" t="s">
        <v>100</v>
      </c>
      <c r="K68" s="1162">
        <f t="shared" si="39"/>
        <v>6334.7836843401519</v>
      </c>
      <c r="L68" s="1231">
        <f>+'ข้อมูล ต.3-505,708,709ไป สนน.'!A69</f>
        <v>303</v>
      </c>
      <c r="M68" s="1164" t="str">
        <f>+'ข้อมูล ต.3-505,708,709ไป สนน.'!B69</f>
        <v>งานด้านบริหารบุคลากร*</v>
      </c>
      <c r="N68" s="1235">
        <f>+'ข้อมูล ต.3-505,708,709ไป สนน.'!C69</f>
        <v>4784087.2259814413</v>
      </c>
      <c r="O68" s="1235">
        <f>+'ข้อมูล ต.3-505,708,709ไป สนน.'!D69</f>
        <v>901188.13733707275</v>
      </c>
      <c r="P68" s="1235">
        <f>+'ข้อมูล ต.3-505,708,709ไป สนน.'!E69</f>
        <v>436900.11562499998</v>
      </c>
      <c r="Q68" s="1166">
        <f t="shared" si="40"/>
        <v>6122175.4789435137</v>
      </c>
      <c r="R68" s="1237">
        <f>+'ข้อมูล ต.3-505,708,709ไป สนน.'!G69</f>
        <v>965</v>
      </c>
      <c r="S68" s="1238" t="str">
        <f>+'ข้อมูล ต.3-505,708,709ไป สนน.'!H69</f>
        <v>จำนวนบุคลากร</v>
      </c>
      <c r="T68" s="1168">
        <f t="shared" si="41"/>
        <v>6344.2232942419832</v>
      </c>
      <c r="U68" s="1169">
        <f t="shared" si="42"/>
        <v>-0.97971627488267643</v>
      </c>
      <c r="V68" s="1170">
        <f t="shared" si="43"/>
        <v>-1.127049180327873</v>
      </c>
      <c r="W68" s="1171">
        <f t="shared" si="44"/>
        <v>0.14901234789068951</v>
      </c>
      <c r="X68" s="741"/>
      <c r="AA68" s="1149">
        <v>303</v>
      </c>
      <c r="AB68" s="1306" t="s">
        <v>97</v>
      </c>
      <c r="AC68" s="1151">
        <v>1036</v>
      </c>
      <c r="AD68" s="1152" t="s">
        <v>100</v>
      </c>
    </row>
    <row r="69" spans="1:30" ht="42" customHeight="1" x14ac:dyDescent="0.2">
      <c r="A69" s="1240">
        <v>304</v>
      </c>
      <c r="B69" s="1172" t="s">
        <v>98</v>
      </c>
      <c r="C69" s="1173">
        <v>304</v>
      </c>
      <c r="D69" s="1173" t="s">
        <v>98</v>
      </c>
      <c r="E69" s="1307">
        <v>3026437.3945641089</v>
      </c>
      <c r="F69" s="1308">
        <v>190363.67291383055</v>
      </c>
      <c r="G69" s="1309">
        <v>389802.44347305392</v>
      </c>
      <c r="H69" s="1159">
        <f t="shared" si="38"/>
        <v>3606603.5109509937</v>
      </c>
      <c r="I69" s="1312">
        <v>36324</v>
      </c>
      <c r="J69" s="1311" t="s">
        <v>101</v>
      </c>
      <c r="K69" s="1162">
        <f t="shared" si="39"/>
        <v>99.289822457631146</v>
      </c>
      <c r="L69" s="1231">
        <f>+'ข้อมูล ต.3-505,708,709ไป สนน.'!A70</f>
        <v>304</v>
      </c>
      <c r="M69" s="1164" t="str">
        <f>+'ข้อมูล ต.3-505,708,709ไป สนน.'!B70</f>
        <v>งานด้านพัฒนาทรัพยากรบุคคล*</v>
      </c>
      <c r="N69" s="1235">
        <f>+'ข้อมูล ต.3-505,708,709ไป สนน.'!C70</f>
        <v>3482815.5005144896</v>
      </c>
      <c r="O69" s="1235">
        <f>+'ข้อมูล ต.3-505,708,709ไป สนน.'!D70</f>
        <v>656064.96398138895</v>
      </c>
      <c r="P69" s="1235">
        <f>+'ข้อมูล ต.3-505,708,709ไป สนน.'!E70</f>
        <v>318063.28417499998</v>
      </c>
      <c r="Q69" s="1166">
        <f t="shared" si="40"/>
        <v>4456943.7486708788</v>
      </c>
      <c r="R69" s="1237">
        <f>+'ข้อมูล ต.3-505,708,709ไป สนน.'!G70</f>
        <v>23631</v>
      </c>
      <c r="S69" s="1238" t="str">
        <f>+'ข้อมูล ต.3-505,708,709ไป สนน.'!H70</f>
        <v>จำนวนชั่วโมง/คนการฝึกอบรม</v>
      </c>
      <c r="T69" s="1168">
        <f t="shared" si="41"/>
        <v>188.60580376077522</v>
      </c>
      <c r="U69" s="1169">
        <f t="shared" si="42"/>
        <v>23.577314088946437</v>
      </c>
      <c r="V69" s="1170">
        <f t="shared" si="43"/>
        <v>-34.94383878427486</v>
      </c>
      <c r="W69" s="1171">
        <f t="shared" si="44"/>
        <v>89.954820234729368</v>
      </c>
      <c r="X69" s="741"/>
      <c r="AA69" s="1149">
        <v>304</v>
      </c>
      <c r="AB69" s="1306" t="s">
        <v>98</v>
      </c>
      <c r="AC69" s="1151"/>
      <c r="AD69" s="1152" t="s">
        <v>101</v>
      </c>
    </row>
    <row r="70" spans="1:30" x14ac:dyDescent="0.2">
      <c r="A70" s="1240">
        <v>305</v>
      </c>
      <c r="B70" s="1172" t="s">
        <v>130</v>
      </c>
      <c r="C70" s="1173">
        <v>305</v>
      </c>
      <c r="D70" s="1173" t="s">
        <v>130</v>
      </c>
      <c r="E70" s="1307">
        <v>6917571.1875751056</v>
      </c>
      <c r="F70" s="1308">
        <v>435116.96666018409</v>
      </c>
      <c r="G70" s="1309">
        <v>890977.01365269464</v>
      </c>
      <c r="H70" s="1159">
        <f t="shared" si="38"/>
        <v>8243665.1678879838</v>
      </c>
      <c r="I70" s="1312">
        <v>8360</v>
      </c>
      <c r="J70" s="1311" t="s">
        <v>1</v>
      </c>
      <c r="K70" s="1162">
        <f t="shared" si="39"/>
        <v>986.08435022583535</v>
      </c>
      <c r="L70" s="1231">
        <f>+'ข้อมูล ต.3-505,708,709ไป สนน.'!A71</f>
        <v>305</v>
      </c>
      <c r="M70" s="1164" t="str">
        <f>+'ข้อมูล ต.3-505,708,709ไป สนน.'!B71</f>
        <v>งานอำนวยการ*</v>
      </c>
      <c r="N70" s="1235">
        <f>+'ข้อมูล ต.3-505,708,709ไป สนน.'!C71</f>
        <v>11305754.932439342</v>
      </c>
      <c r="O70" s="1235">
        <f>+'ข้อมูล ต.3-505,708,709ไป สนน.'!D71</f>
        <v>2129687.8061549701</v>
      </c>
      <c r="P70" s="1235">
        <f>+'ข้อมูล ต.3-505,708,709ไป สนน.'!E71</f>
        <v>1032482.3532450001</v>
      </c>
      <c r="Q70" s="1166">
        <f t="shared" si="40"/>
        <v>14467925.091839312</v>
      </c>
      <c r="R70" s="1237">
        <f>+'ข้อมูล ต.3-505,708,709ไป สนน.'!G71</f>
        <v>10883</v>
      </c>
      <c r="S70" s="1238" t="str">
        <f>+'ข้อมูล ต.3-505,708,709ไป สนน.'!H71</f>
        <v>เรื่อง</v>
      </c>
      <c r="T70" s="1168">
        <f t="shared" si="41"/>
        <v>1329.4059626793451</v>
      </c>
      <c r="U70" s="1169">
        <f t="shared" si="42"/>
        <v>75.503550874397945</v>
      </c>
      <c r="V70" s="1170">
        <f t="shared" si="43"/>
        <v>30.179425837320593</v>
      </c>
      <c r="W70" s="1171">
        <f t="shared" si="44"/>
        <v>34.81665765964965</v>
      </c>
      <c r="X70" s="741">
        <f>+R70-I70</f>
        <v>2523</v>
      </c>
      <c r="AA70" s="1149">
        <v>305</v>
      </c>
      <c r="AB70" s="1306" t="s">
        <v>130</v>
      </c>
      <c r="AC70" s="1151">
        <v>3</v>
      </c>
      <c r="AD70" s="1152" t="s">
        <v>165</v>
      </c>
    </row>
    <row r="71" spans="1:30" ht="43.5" x14ac:dyDescent="0.2">
      <c r="A71" s="1240">
        <v>306</v>
      </c>
      <c r="B71" s="1172" t="s">
        <v>161</v>
      </c>
      <c r="C71" s="1173">
        <v>306</v>
      </c>
      <c r="D71" s="1173" t="s">
        <v>161</v>
      </c>
      <c r="E71" s="1307">
        <v>2161740.9961172207</v>
      </c>
      <c r="F71" s="1308">
        <v>135974.05208130754</v>
      </c>
      <c r="G71" s="1309">
        <v>278430.31676646712</v>
      </c>
      <c r="H71" s="1159">
        <f t="shared" si="38"/>
        <v>2576145.3649649951</v>
      </c>
      <c r="I71" s="1312">
        <v>1</v>
      </c>
      <c r="J71" s="1311" t="s">
        <v>165</v>
      </c>
      <c r="K71" s="1162">
        <f t="shared" si="39"/>
        <v>2576145.3649649951</v>
      </c>
      <c r="L71" s="1231">
        <f>+'ข้อมูล ต.3-505,708,709ไป สนน.'!A72</f>
        <v>306</v>
      </c>
      <c r="M71" s="1164" t="str">
        <f>+'ข้อมูล ต.3-505,708,709ไป สนน.'!B72</f>
        <v>งานด้านพัฒนาระบบบริหารราชการ*</v>
      </c>
      <c r="N71" s="1235">
        <f>+'ข้อมูล ต.3-505,708,709ไป สนน.'!C72</f>
        <v>2173889.2354859668</v>
      </c>
      <c r="O71" s="1235">
        <f>+'ข้อมูล ต.3-505,708,709ไป สนน.'!D72</f>
        <v>409499.88960596581</v>
      </c>
      <c r="P71" s="1235">
        <f>+'ข้อมูล ต.3-505,708,709ไป สนน.'!E72</f>
        <v>198527.41254000002</v>
      </c>
      <c r="Q71" s="1166">
        <f t="shared" si="40"/>
        <v>2781916.5376319326</v>
      </c>
      <c r="R71" s="1237">
        <f>+'ข้อมูล ต.3-505,708,709ไป สนน.'!G72</f>
        <v>1</v>
      </c>
      <c r="S71" s="1238" t="str">
        <f>+'ข้อมูล ต.3-505,708,709ไป สนน.'!H72</f>
        <v>ด้าน</v>
      </c>
      <c r="T71" s="1168">
        <f t="shared" si="41"/>
        <v>2781916.5376319326</v>
      </c>
      <c r="U71" s="1169">
        <f t="shared" si="42"/>
        <v>7.9875606192639594</v>
      </c>
      <c r="V71" s="1170">
        <f t="shared" si="43"/>
        <v>0</v>
      </c>
      <c r="W71" s="1171">
        <f t="shared" si="44"/>
        <v>7.9875606192639594</v>
      </c>
      <c r="AA71" s="1149">
        <v>306</v>
      </c>
      <c r="AB71" s="1306" t="s">
        <v>161</v>
      </c>
      <c r="AC71" s="1151">
        <v>1</v>
      </c>
      <c r="AD71" s="1152" t="s">
        <v>165</v>
      </c>
    </row>
    <row r="72" spans="1:30" ht="42" customHeight="1" x14ac:dyDescent="0.2">
      <c r="A72" s="1240">
        <v>307</v>
      </c>
      <c r="B72" s="1172" t="s">
        <v>162</v>
      </c>
      <c r="C72" s="1173">
        <v>307</v>
      </c>
      <c r="D72" s="1173" t="s">
        <v>162</v>
      </c>
      <c r="E72" s="1307">
        <v>5188178.3906813292</v>
      </c>
      <c r="F72" s="1308">
        <v>326337.72499513807</v>
      </c>
      <c r="G72" s="1309">
        <v>668232.76023952104</v>
      </c>
      <c r="H72" s="1159">
        <f t="shared" si="38"/>
        <v>6182748.8759159883</v>
      </c>
      <c r="I72" s="1312">
        <v>62088</v>
      </c>
      <c r="J72" s="1311" t="s">
        <v>166</v>
      </c>
      <c r="K72" s="1162">
        <f t="shared" si="39"/>
        <v>99.58041611770372</v>
      </c>
      <c r="L72" s="1231">
        <f>+'ข้อมูล ต.3-505,708,709ไป สนน.'!A73</f>
        <v>307</v>
      </c>
      <c r="M72" s="1164" t="str">
        <f>+'ข้อมูล ต.3-505,708,709ไป สนน.'!B73</f>
        <v>งานด้านสารบรรณ*</v>
      </c>
      <c r="N72" s="1235">
        <f>+'ข้อมูล ต.3-505,708,709ไป สนน.'!C73</f>
        <v>4347778.4709719336</v>
      </c>
      <c r="O72" s="1235">
        <f>+'ข้อมูล ต.3-505,708,709ไป สนน.'!D73</f>
        <v>818999.77921193163</v>
      </c>
      <c r="P72" s="1235">
        <f>+'ข้อมูล ต.3-505,708,709ไป สนน.'!E73</f>
        <v>397054.82508000004</v>
      </c>
      <c r="Q72" s="1166">
        <f t="shared" si="40"/>
        <v>5563833.0752638653</v>
      </c>
      <c r="R72" s="1237">
        <f>+'ข้อมูล ต.3-505,708,709ไป สนน.'!G73</f>
        <v>62062</v>
      </c>
      <c r="S72" s="1238" t="str">
        <f>+'ข้อมูล ต.3-505,708,709ไป สนน.'!H73</f>
        <v>จำนวนหนังสือเข้า-ออก</v>
      </c>
      <c r="T72" s="1168">
        <f t="shared" si="41"/>
        <v>89.649593555861316</v>
      </c>
      <c r="U72" s="1169">
        <f t="shared" si="42"/>
        <v>-10.010366150613365</v>
      </c>
      <c r="V72" s="1170">
        <f t="shared" si="43"/>
        <v>-4.1876046901165864E-2</v>
      </c>
      <c r="W72" s="1171">
        <f t="shared" si="44"/>
        <v>-9.972666262113421</v>
      </c>
      <c r="X72" s="741"/>
      <c r="AA72" s="1149">
        <v>307</v>
      </c>
      <c r="AB72" s="1306" t="s">
        <v>162</v>
      </c>
      <c r="AC72" s="1151">
        <f>8378+11597+3739+3878+18911+120+2671+912+36+4701</f>
        <v>54943</v>
      </c>
      <c r="AD72" s="1152" t="s">
        <v>166</v>
      </c>
    </row>
    <row r="73" spans="1:30" x14ac:dyDescent="0.2">
      <c r="A73" s="1240">
        <v>308</v>
      </c>
      <c r="B73" s="1172" t="s">
        <v>136</v>
      </c>
      <c r="C73" s="1173">
        <v>308</v>
      </c>
      <c r="D73" s="1173" t="s">
        <v>136</v>
      </c>
      <c r="E73" s="1307">
        <v>6052874.7891282178</v>
      </c>
      <c r="F73" s="1308">
        <v>380727.34582766111</v>
      </c>
      <c r="G73" s="1309">
        <v>779604.88694610784</v>
      </c>
      <c r="H73" s="1159">
        <f t="shared" si="38"/>
        <v>7213207.0219019875</v>
      </c>
      <c r="I73" s="1312">
        <v>135648</v>
      </c>
      <c r="J73" s="1311" t="s">
        <v>167</v>
      </c>
      <c r="K73" s="1162">
        <f t="shared" si="39"/>
        <v>53.175918715366151</v>
      </c>
      <c r="L73" s="1231">
        <f>+'ข้อมูล ต.3-505,708,709ไป สนน.'!A74</f>
        <v>308</v>
      </c>
      <c r="M73" s="1164" t="str">
        <f>+'ข้อมูล ต.3-505,708,709ไป สนน.'!B74</f>
        <v>งานด้านยานพาหนะ*</v>
      </c>
      <c r="N73" s="1235">
        <f>+'ข้อมูล ต.3-505,708,709ไป สนน.'!C74</f>
        <v>5656704.7360004559</v>
      </c>
      <c r="O73" s="1235">
        <f>+'ข้อมูล ต.3-505,708,709ไป สนน.'!D74</f>
        <v>1065564.8535873548</v>
      </c>
      <c r="P73" s="1235">
        <f>+'ข้อมูล ต.3-505,708,709ไป สนน.'!E74</f>
        <v>516590.69671500003</v>
      </c>
      <c r="Q73" s="1166">
        <f t="shared" si="40"/>
        <v>7238860.2863028105</v>
      </c>
      <c r="R73" s="1237">
        <f>+'ข้อมูล ต.3-505,708,709ไป สนน.'!G74</f>
        <v>151201</v>
      </c>
      <c r="S73" s="1238" t="str">
        <f>+'ข้อมูล ต.3-505,708,709ไป สนน.'!H74</f>
        <v>กิโลเมตร</v>
      </c>
      <c r="T73" s="1168">
        <f t="shared" si="41"/>
        <v>47.875743456080386</v>
      </c>
      <c r="U73" s="1169">
        <f t="shared" si="42"/>
        <v>0.35564297992461036</v>
      </c>
      <c r="V73" s="1170">
        <f t="shared" si="43"/>
        <v>11.465705355036576</v>
      </c>
      <c r="W73" s="1171">
        <f t="shared" si="44"/>
        <v>-9.9672471812963295</v>
      </c>
      <c r="X73" s="741"/>
      <c r="AA73" s="1149">
        <v>308</v>
      </c>
      <c r="AB73" s="1306" t="s">
        <v>136</v>
      </c>
      <c r="AC73" s="1151">
        <v>193427</v>
      </c>
      <c r="AD73" s="1152" t="s">
        <v>167</v>
      </c>
    </row>
    <row r="74" spans="1:30" x14ac:dyDescent="0.2">
      <c r="A74" s="1240">
        <v>309</v>
      </c>
      <c r="B74" s="1172" t="s">
        <v>163</v>
      </c>
      <c r="C74" s="1173">
        <v>309</v>
      </c>
      <c r="D74" s="1173" t="s">
        <v>163</v>
      </c>
      <c r="E74" s="1307">
        <v>1513218.6972820545</v>
      </c>
      <c r="F74" s="1308">
        <v>95181.836456915276</v>
      </c>
      <c r="G74" s="1309">
        <v>194901.22173652696</v>
      </c>
      <c r="H74" s="1159">
        <f t="shared" si="38"/>
        <v>1803301.7554754969</v>
      </c>
      <c r="I74" s="1312">
        <v>1</v>
      </c>
      <c r="J74" s="1311" t="s">
        <v>165</v>
      </c>
      <c r="K74" s="1162">
        <f t="shared" si="39"/>
        <v>1803301.7554754969</v>
      </c>
      <c r="L74" s="1231">
        <f>+'ข้อมูล ต.3-505,708,709ไป สนน.'!A75</f>
        <v>309</v>
      </c>
      <c r="M74" s="1164" t="str">
        <f>+'ข้อมูล ต.3-505,708,709ไป สนน.'!B75</f>
        <v>งานด้านแผนงาน*</v>
      </c>
      <c r="N74" s="1235">
        <f>+'ข้อมูล ต.3-505,708,709ไป สนน.'!C75</f>
        <v>1301271.725466952</v>
      </c>
      <c r="O74" s="1235">
        <f>+'ข้อมูล ต.3-505,708,709ไป สนน.'!D75</f>
        <v>245123.1733556838</v>
      </c>
      <c r="P74" s="1235">
        <f>+'ข้อมูล ต.3-505,708,709ไป สนน.'!E75</f>
        <v>118836.83145000001</v>
      </c>
      <c r="Q74" s="1166">
        <f t="shared" si="40"/>
        <v>1665231.7302726358</v>
      </c>
      <c r="R74" s="1237">
        <f>+'ข้อมูล ต.3-505,708,709ไป สนน.'!G75</f>
        <v>1</v>
      </c>
      <c r="S74" s="1238" t="str">
        <f>+'ข้อมูล ต.3-505,708,709ไป สนน.'!H75</f>
        <v>ด้าน</v>
      </c>
      <c r="T74" s="1168">
        <f t="shared" si="41"/>
        <v>1665231.7302726358</v>
      </c>
      <c r="U74" s="1169">
        <f t="shared" si="42"/>
        <v>-7.6565125489191672</v>
      </c>
      <c r="V74" s="1170">
        <f t="shared" si="43"/>
        <v>0</v>
      </c>
      <c r="W74" s="1171">
        <f t="shared" si="44"/>
        <v>-7.6565125489191672</v>
      </c>
      <c r="X74" s="741"/>
      <c r="AA74" s="1149">
        <v>309</v>
      </c>
      <c r="AB74" s="1306" t="s">
        <v>163</v>
      </c>
      <c r="AC74" s="1151">
        <v>1</v>
      </c>
      <c r="AD74" s="1152" t="s">
        <v>165</v>
      </c>
    </row>
    <row r="75" spans="1:30" x14ac:dyDescent="0.2">
      <c r="A75" s="1240">
        <v>310</v>
      </c>
      <c r="B75" s="1313" t="s">
        <v>304</v>
      </c>
      <c r="C75" s="1314">
        <v>310</v>
      </c>
      <c r="D75" s="1314" t="s">
        <v>304</v>
      </c>
      <c r="E75" s="1307">
        <v>9511660.3829157706</v>
      </c>
      <c r="F75" s="1308">
        <v>598285.82915775327</v>
      </c>
      <c r="G75" s="1309">
        <v>1225093.3937724554</v>
      </c>
      <c r="H75" s="1159">
        <f t="shared" si="38"/>
        <v>11335039.605845978</v>
      </c>
      <c r="I75" s="1312">
        <v>67387</v>
      </c>
      <c r="J75" s="1311" t="s">
        <v>1</v>
      </c>
      <c r="K75" s="1162">
        <f t="shared" si="39"/>
        <v>168.20810550767919</v>
      </c>
      <c r="L75" s="1231">
        <f>+'ข้อมูล ต.3-505,708,709ไป สนน.'!A76</f>
        <v>310</v>
      </c>
      <c r="M75" s="1164" t="str">
        <f>+'ข้อมูล ต.3-505,708,709ไป สนน.'!B76</f>
        <v>งานด้านประชาสัมพันธ์*</v>
      </c>
      <c r="N75" s="1235">
        <f>+'ข้อมูล ต.3-505,708,709ไป สนน.'!C76</f>
        <v>10440791.961981898</v>
      </c>
      <c r="O75" s="1235">
        <f>+'ข้อมูล ต.3-505,708,709ไป สนน.'!D76</f>
        <v>1966752.9909244275</v>
      </c>
      <c r="P75" s="1235">
        <f>+'ข้อมูล ต.3-505,708,709ไป สนน.'!E76</f>
        <v>953490.81234000018</v>
      </c>
      <c r="Q75" s="1166">
        <f t="shared" si="40"/>
        <v>13361035.765246326</v>
      </c>
      <c r="R75" s="1237">
        <f>+'ข้อมูล ต.3-505,708,709ไป สนน.'!G76</f>
        <v>66443</v>
      </c>
      <c r="S75" s="1238" t="str">
        <f>+'ข้อมูล ต.3-505,708,709ไป สนน.'!H76</f>
        <v>เรื่อง</v>
      </c>
      <c r="T75" s="1168">
        <f t="shared" si="41"/>
        <v>201.09019407983274</v>
      </c>
      <c r="U75" s="1169">
        <f t="shared" si="42"/>
        <v>17.873745746379683</v>
      </c>
      <c r="V75" s="1170">
        <f t="shared" si="43"/>
        <v>-1.4008636680665489</v>
      </c>
      <c r="W75" s="1171">
        <f t="shared" si="44"/>
        <v>19.548456641200545</v>
      </c>
      <c r="X75" s="741"/>
      <c r="AC75" s="1242"/>
      <c r="AD75" s="1315"/>
    </row>
    <row r="76" spans="1:30" ht="56.25" x14ac:dyDescent="0.2">
      <c r="A76" s="1240">
        <v>311</v>
      </c>
      <c r="B76" s="1313" t="s">
        <v>305</v>
      </c>
      <c r="C76" s="1314">
        <v>311</v>
      </c>
      <c r="D76" s="1314" t="s">
        <v>305</v>
      </c>
      <c r="E76" s="1307">
        <v>1080870.4980586104</v>
      </c>
      <c r="F76" s="1308">
        <v>67987.026040653771</v>
      </c>
      <c r="G76" s="1309">
        <v>139215.15838323356</v>
      </c>
      <c r="H76" s="1159">
        <f t="shared" si="38"/>
        <v>1288072.6824824975</v>
      </c>
      <c r="I76" s="1312">
        <v>711986800</v>
      </c>
      <c r="J76" s="1311" t="s">
        <v>308</v>
      </c>
      <c r="K76" s="1162">
        <f t="shared" si="39"/>
        <v>1.8091243861297675E-3</v>
      </c>
      <c r="L76" s="1231">
        <f>+'ข้อมูล ต.3-505,708,709ไป สนน.'!A77</f>
        <v>311</v>
      </c>
      <c r="M76" s="1164" t="str">
        <f>+'ข้อมูล ต.3-505,708,709ไป สนน.'!B77</f>
        <v>งานด้านงบประมาณ*</v>
      </c>
      <c r="N76" s="1235">
        <f>+'ข้อมูล ต.3-505,708,709ไป สนน.'!C77</f>
        <v>872617.51001901482</v>
      </c>
      <c r="O76" s="1235">
        <f>+'ข้อมูล ต.3-505,708,709ไป สนน.'!D77</f>
        <v>164376.71625028207</v>
      </c>
      <c r="P76" s="1235">
        <f>+'ข้อมูล ต.3-505,708,709ไป สนน.'!E77</f>
        <v>79690.581090000007</v>
      </c>
      <c r="Q76" s="1166">
        <f t="shared" si="40"/>
        <v>1116684.8073592968</v>
      </c>
      <c r="R76" s="1237">
        <f>+'ข้อมูล ต.3-505,708,709ไป สนน.'!G77</f>
        <v>762956200</v>
      </c>
      <c r="S76" s="1316" t="str">
        <f>+'ข้อมูล ต.3-505,708,709ไป สนน.'!H77</f>
        <v>จำนวนเงินงบประมาณที่ได้รับจัดสรร</v>
      </c>
      <c r="T76" s="1168">
        <f t="shared" si="41"/>
        <v>1.4636289833666687E-3</v>
      </c>
      <c r="U76" s="1169">
        <f t="shared" si="42"/>
        <v>-13.305761192985287</v>
      </c>
      <c r="V76" s="1170">
        <f t="shared" si="43"/>
        <v>7.1587563140215451</v>
      </c>
      <c r="W76" s="1171">
        <f t="shared" si="44"/>
        <v>-19.097382436053053</v>
      </c>
      <c r="X76" s="741">
        <v>762956200</v>
      </c>
      <c r="Y76" s="1317">
        <f>+R76-X76</f>
        <v>0</v>
      </c>
      <c r="AC76" s="1242"/>
      <c r="AD76" s="1315"/>
    </row>
    <row r="77" spans="1:30" x14ac:dyDescent="0.2">
      <c r="A77" s="1240">
        <v>312</v>
      </c>
      <c r="B77" s="1313" t="s">
        <v>306</v>
      </c>
      <c r="C77" s="1314">
        <v>312</v>
      </c>
      <c r="D77" s="1314" t="s">
        <v>306</v>
      </c>
      <c r="E77" s="1307">
        <v>8646963.9844688829</v>
      </c>
      <c r="F77" s="1308">
        <v>543896.20832523017</v>
      </c>
      <c r="G77" s="1309">
        <v>1113721.2670658685</v>
      </c>
      <c r="H77" s="1159">
        <f t="shared" si="38"/>
        <v>10304581.45985998</v>
      </c>
      <c r="I77" s="1312">
        <v>10</v>
      </c>
      <c r="J77" s="1311" t="s">
        <v>28</v>
      </c>
      <c r="K77" s="1162">
        <f t="shared" si="39"/>
        <v>1030458.145985998</v>
      </c>
      <c r="L77" s="1231">
        <f>+'ข้อมูล ต.3-505,708,709ไป สนน.'!A78</f>
        <v>312</v>
      </c>
      <c r="M77" s="1164" t="str">
        <f>+'ข้อมูล ต.3-505,708,709ไป สนน.'!B78</f>
        <v>งานด้านอาคารสถานที่*</v>
      </c>
      <c r="N77" s="1235">
        <f>+'ข้อมูล ต.3-505,708,709ไป สนน.'!C78</f>
        <v>8695556.9419438671</v>
      </c>
      <c r="O77" s="1235">
        <f>+'ข้อมูล ต.3-505,708,709ไป สนน.'!D78</f>
        <v>1637999.5584238633</v>
      </c>
      <c r="P77" s="1235">
        <f>+'ข้อมูล ต.3-505,708,709ไป สนน.'!E78</f>
        <v>794109.65016000008</v>
      </c>
      <c r="Q77" s="1166">
        <f t="shared" si="40"/>
        <v>11127666.150527731</v>
      </c>
      <c r="R77" s="1237">
        <f>+'ข้อมูล ต.3-505,708,709ไป สนน.'!G78</f>
        <v>13</v>
      </c>
      <c r="S77" s="1238" t="str">
        <f>+'ข้อมูล ต.3-505,708,709ไป สนน.'!H78</f>
        <v>ครั้ง</v>
      </c>
      <c r="T77" s="1168">
        <f t="shared" si="41"/>
        <v>855974.3192713639</v>
      </c>
      <c r="U77" s="1169">
        <f t="shared" si="42"/>
        <v>7.9875606192639594</v>
      </c>
      <c r="V77" s="1170">
        <f t="shared" si="43"/>
        <v>30</v>
      </c>
      <c r="W77" s="1171">
        <f t="shared" si="44"/>
        <v>-16.932645677489262</v>
      </c>
      <c r="X77" s="741"/>
      <c r="AC77" s="1242"/>
      <c r="AD77" s="1315"/>
    </row>
    <row r="78" spans="1:30" ht="43.5" x14ac:dyDescent="0.2">
      <c r="A78" s="1240">
        <v>313</v>
      </c>
      <c r="B78" s="1313" t="s">
        <v>307</v>
      </c>
      <c r="C78" s="1314">
        <v>313</v>
      </c>
      <c r="D78" s="1314" t="s">
        <v>307</v>
      </c>
      <c r="E78" s="1307">
        <v>3026437.3945641089</v>
      </c>
      <c r="F78" s="1308">
        <v>190363.67291383055</v>
      </c>
      <c r="G78" s="1309">
        <v>389802.44347305392</v>
      </c>
      <c r="H78" s="1159">
        <f t="shared" si="38"/>
        <v>3606603.5109509937</v>
      </c>
      <c r="I78" s="1312">
        <v>11</v>
      </c>
      <c r="J78" s="1311" t="s">
        <v>1</v>
      </c>
      <c r="K78" s="1162">
        <f t="shared" si="39"/>
        <v>327873.04645009036</v>
      </c>
      <c r="L78" s="1231">
        <f>+'ข้อมูล ต.3-505,708,709ไป สนน.'!A79</f>
        <v>313</v>
      </c>
      <c r="M78" s="1164" t="str">
        <f>+'ข้อมูล ต.3-505,708,709ไป สนน.'!B79</f>
        <v>งานด้านวินัยและความรับผิดทางละเมิด*</v>
      </c>
      <c r="N78" s="1235">
        <f>+'ข้อมูล ต.3-505,708,709ไป สนน.'!C79</f>
        <v>3046506.7455049818</v>
      </c>
      <c r="O78" s="1235">
        <f>+'ข้อมูล ต.3-505,708,709ไป สนน.'!D79</f>
        <v>573876.60585624794</v>
      </c>
      <c r="P78" s="1235">
        <f>+'ข้อมูล ต.3-505,708,709ไป สนน.'!E79</f>
        <v>278217.99363000004</v>
      </c>
      <c r="Q78" s="1166">
        <f t="shared" si="40"/>
        <v>3898601.3449912299</v>
      </c>
      <c r="R78" s="1237">
        <f>+'ข้อมูล ต.3-505,708,709ไป สนน.'!G79</f>
        <v>12</v>
      </c>
      <c r="S78" s="1238" t="str">
        <f>+'ข้อมูล ต.3-505,708,709ไป สนน.'!H79</f>
        <v>เรื่อง</v>
      </c>
      <c r="T78" s="1168">
        <f t="shared" si="41"/>
        <v>324883.44541593583</v>
      </c>
      <c r="U78" s="1169">
        <f t="shared" si="42"/>
        <v>8.0962000162652146</v>
      </c>
      <c r="V78" s="1170">
        <f t="shared" si="43"/>
        <v>9.0909090909090793</v>
      </c>
      <c r="W78" s="1171">
        <f t="shared" si="44"/>
        <v>-0.91181665175689375</v>
      </c>
      <c r="X78" s="741"/>
      <c r="AC78" s="1242"/>
      <c r="AD78" s="1315"/>
    </row>
    <row r="79" spans="1:30" x14ac:dyDescent="0.2">
      <c r="A79" s="1318">
        <v>505</v>
      </c>
      <c r="B79" s="1319" t="s">
        <v>303</v>
      </c>
      <c r="C79" s="1173">
        <v>505</v>
      </c>
      <c r="D79" s="1173" t="s">
        <v>303</v>
      </c>
      <c r="E79" s="1307">
        <v>763419.82091098046</v>
      </c>
      <c r="F79" s="1308">
        <v>74463.233060999992</v>
      </c>
      <c r="G79" s="1309">
        <v>21547.084962000001</v>
      </c>
      <c r="H79" s="1159">
        <f t="shared" si="38"/>
        <v>859430.13893398049</v>
      </c>
      <c r="I79" s="1312">
        <v>10</v>
      </c>
      <c r="J79" s="1311" t="s">
        <v>1</v>
      </c>
      <c r="K79" s="1162">
        <f t="shared" si="39"/>
        <v>85943.013893398049</v>
      </c>
      <c r="L79" s="1231">
        <f>+'ข้อมูล ต.3-505,708,709ไป สนน.'!A80</f>
        <v>505</v>
      </c>
      <c r="M79" s="1164" t="str">
        <f>+'ข้อมูล ต.3-505,708,709ไป สนน.'!B80</f>
        <v>ด้านการวิเทศสัมพันธ์*</v>
      </c>
      <c r="N79" s="1235">
        <f>+'ข้อมูล ต.3-505,708,709ไป สนน.'!C80</f>
        <v>1137260.802884127</v>
      </c>
      <c r="O79" s="1235">
        <f>+'ข้อมูล ต.3-505,708,709ไป สนน.'!D80</f>
        <v>84545.022768999988</v>
      </c>
      <c r="P79" s="1235">
        <f>+'ข้อมูล ต.3-505,708,709ไป สนน.'!E80</f>
        <v>29920.757222571428</v>
      </c>
      <c r="Q79" s="1166">
        <f t="shared" si="40"/>
        <v>1251726.5828756983</v>
      </c>
      <c r="R79" s="1237">
        <f>+'ข้อมูล ต.3-505,708,709ไป สนน.'!G80</f>
        <v>12</v>
      </c>
      <c r="S79" s="1238" t="str">
        <f>+'ข้อมูล ต.3-505,708,709ไป สนน.'!H80</f>
        <v>เรื่อง</v>
      </c>
      <c r="T79" s="1168">
        <f t="shared" si="41"/>
        <v>104310.54857297486</v>
      </c>
      <c r="U79" s="1169">
        <f t="shared" si="42"/>
        <v>45.646112018868024</v>
      </c>
      <c r="V79" s="1170">
        <f t="shared" si="43"/>
        <v>20</v>
      </c>
      <c r="W79" s="1171">
        <f t="shared" si="44"/>
        <v>21.371760015723368</v>
      </c>
      <c r="X79" s="741"/>
      <c r="AC79" s="1242"/>
      <c r="AD79" s="1315"/>
    </row>
    <row r="80" spans="1:30" ht="48" customHeight="1" x14ac:dyDescent="0.2">
      <c r="A80" s="1320">
        <v>708</v>
      </c>
      <c r="B80" s="1172" t="s">
        <v>337</v>
      </c>
      <c r="C80" s="1173">
        <v>708</v>
      </c>
      <c r="D80" s="1173" t="s">
        <v>337</v>
      </c>
      <c r="E80" s="1241">
        <v>5756064.3319879463</v>
      </c>
      <c r="F80" s="1157">
        <v>383131.42642300099</v>
      </c>
      <c r="G80" s="1158">
        <v>1413293.338005072</v>
      </c>
      <c r="H80" s="1159">
        <f t="shared" si="38"/>
        <v>7552489.0964160189</v>
      </c>
      <c r="I80" s="1160">
        <v>696</v>
      </c>
      <c r="J80" s="1254" t="s">
        <v>160</v>
      </c>
      <c r="K80" s="1162">
        <f t="shared" si="39"/>
        <v>10851.277437379338</v>
      </c>
      <c r="L80" s="1231">
        <f>+'ข้อมูล ต.3-505,708,709ไป สนน.'!A81</f>
        <v>708</v>
      </c>
      <c r="M80" s="1164" t="str">
        <f>+'ข้อมูล ต.3-505,708,709ไป สนน.'!B81</f>
        <v>งานด้านเทคโนโลยีสารสนเทศและการสื่อสาร*</v>
      </c>
      <c r="N80" s="1235">
        <f>+'ข้อมูล ต.3-505,708,709ไป สนน.'!C81</f>
        <v>6351961.451460191</v>
      </c>
      <c r="O80" s="1235">
        <f>+'ข้อมูล ต.3-505,708,709ไป สนน.'!D81</f>
        <v>260134.25748394273</v>
      </c>
      <c r="P80" s="1235">
        <f>+'ข้อมูล ต.3-505,708,709ไป สนน.'!E81</f>
        <v>1400357.2129399837</v>
      </c>
      <c r="Q80" s="1166">
        <f t="shared" si="40"/>
        <v>8012452.9218841176</v>
      </c>
      <c r="R80" s="1237">
        <f>+'ข้อมูล ต.3-505,708,709ไป สนน.'!G81</f>
        <v>657</v>
      </c>
      <c r="S80" s="1238" t="str">
        <f>+'ข้อมูล ต.3-505,708,709ไป สนน.'!H81</f>
        <v>เครื่อง</v>
      </c>
      <c r="T80" s="1168">
        <f t="shared" si="41"/>
        <v>12195.514340767302</v>
      </c>
      <c r="U80" s="1169">
        <f t="shared" si="42"/>
        <v>6.0902282624462316</v>
      </c>
      <c r="V80" s="1170">
        <f t="shared" si="43"/>
        <v>-5.6034482758620641</v>
      </c>
      <c r="W80" s="1171">
        <f t="shared" si="44"/>
        <v>12.387821720947613</v>
      </c>
      <c r="X80" s="741"/>
      <c r="AC80" s="1242"/>
      <c r="AD80" s="1315"/>
    </row>
    <row r="81" spans="1:30" ht="51.75" customHeight="1" x14ac:dyDescent="0.2">
      <c r="A81" s="1240">
        <v>709</v>
      </c>
      <c r="B81" s="1172" t="s">
        <v>338</v>
      </c>
      <c r="C81" s="1173">
        <v>709</v>
      </c>
      <c r="D81" s="1173" t="s">
        <v>338</v>
      </c>
      <c r="E81" s="1241">
        <v>6445799.6269416763</v>
      </c>
      <c r="F81" s="1157">
        <v>429041.14045127452</v>
      </c>
      <c r="G81" s="1158">
        <v>1582644.8673005074</v>
      </c>
      <c r="H81" s="1159">
        <f t="shared" si="38"/>
        <v>8457485.6346934587</v>
      </c>
      <c r="I81" s="1160">
        <v>1</v>
      </c>
      <c r="J81" s="1254" t="s">
        <v>6</v>
      </c>
      <c r="K81" s="1162">
        <f t="shared" si="39"/>
        <v>8457485.6346934587</v>
      </c>
      <c r="L81" s="1231">
        <f>+'ข้อมูล ต.3-505,708,709ไป สนน.'!A82</f>
        <v>709</v>
      </c>
      <c r="M81" s="1164" t="str">
        <f>+'ข้อมูล ต.3-505,708,709ไป สนน.'!B82</f>
        <v>งานด้านเครือข่ายอินเตอร์เน็ตและเวบไซต์*</v>
      </c>
      <c r="N81" s="1235">
        <f>+'ข้อมูล ต.3-505,708,709ไป สนน.'!C82</f>
        <v>7113101.6598679209</v>
      </c>
      <c r="O81" s="1235">
        <f>+'ข้อมูล ต.3-505,708,709ไป สนน.'!D82</f>
        <v>291305.51764796692</v>
      </c>
      <c r="P81" s="1235">
        <f>+'ข้อมูล ต.3-505,708,709ไป สนน.'!E82</f>
        <v>1568158.6375939993</v>
      </c>
      <c r="Q81" s="1166">
        <f t="shared" si="40"/>
        <v>8972565.8151098862</v>
      </c>
      <c r="R81" s="1237">
        <f>+'ข้อมูล ต.3-505,708,709ไป สนน.'!G82</f>
        <v>1</v>
      </c>
      <c r="S81" s="1238" t="str">
        <f>+'ข้อมูล ต.3-505,708,709ไป สนน.'!H82</f>
        <v>ระบบ</v>
      </c>
      <c r="T81" s="1168">
        <f t="shared" si="41"/>
        <v>8972565.8151098862</v>
      </c>
      <c r="U81" s="1169">
        <f t="shared" si="42"/>
        <v>6.090228262446189</v>
      </c>
      <c r="V81" s="1170">
        <f t="shared" si="43"/>
        <v>0</v>
      </c>
      <c r="W81" s="1171">
        <f t="shared" si="44"/>
        <v>6.090228262446189</v>
      </c>
      <c r="X81" s="741"/>
      <c r="AC81" s="1242"/>
      <c r="AD81" s="1315"/>
    </row>
    <row r="82" spans="1:30" ht="22.5" thickBot="1" x14ac:dyDescent="0.25">
      <c r="A82" s="1321"/>
      <c r="B82" s="1322"/>
      <c r="C82" s="1323"/>
      <c r="D82" s="1323"/>
      <c r="E82" s="1324"/>
      <c r="F82" s="1325"/>
      <c r="G82" s="1326"/>
      <c r="H82" s="1327"/>
      <c r="I82" s="1328"/>
      <c r="J82" s="1329"/>
      <c r="K82" s="1330"/>
      <c r="L82" s="1331"/>
      <c r="M82" s="1332"/>
      <c r="N82" s="1333"/>
      <c r="O82" s="1333"/>
      <c r="P82" s="1333"/>
      <c r="Q82" s="1334"/>
      <c r="R82" s="1335"/>
      <c r="S82" s="1336"/>
      <c r="T82" s="1337"/>
      <c r="U82" s="1338"/>
      <c r="V82" s="1339"/>
      <c r="W82" s="1340"/>
      <c r="AC82" s="1341"/>
      <c r="AD82" s="1342"/>
    </row>
    <row r="83" spans="1:30" s="1300" customFormat="1" ht="23.25" thickTop="1" thickBot="1" x14ac:dyDescent="0.25">
      <c r="A83" s="1343" t="s">
        <v>71</v>
      </c>
      <c r="B83" s="1344"/>
      <c r="C83" s="1345"/>
      <c r="D83" s="1345"/>
      <c r="E83" s="1346">
        <f>+E64+E59+E51+E40+E25+E19+E17+E5</f>
        <v>556040229.70999992</v>
      </c>
      <c r="F83" s="1347">
        <f>+F64+F59+F51+F40+F25+F19+F17+F5</f>
        <v>40958414.041937329</v>
      </c>
      <c r="G83" s="1348">
        <f>+G64+G59+G51+G40+G25+G19+G17+G5</f>
        <v>42438557.74000001</v>
      </c>
      <c r="H83" s="1347">
        <f>SUM(E83:G83)</f>
        <v>639437201.49193728</v>
      </c>
      <c r="I83" s="1349"/>
      <c r="J83" s="1342"/>
      <c r="K83" s="1350"/>
      <c r="L83" s="1351" t="s">
        <v>71</v>
      </c>
      <c r="M83" s="1352"/>
      <c r="N83" s="1353">
        <f>+N5+N17+N19+N25+N40+N51+N59+N64</f>
        <v>577020617.50999999</v>
      </c>
      <c r="O83" s="1354">
        <f>+O5+O17+O19+O25+O40+O51+O59+O64</f>
        <v>41360637.719999999</v>
      </c>
      <c r="P83" s="1354">
        <f>+P5+P17+P19+P25+P40+P51+P59+P64</f>
        <v>43873491.260000013</v>
      </c>
      <c r="Q83" s="1354">
        <f>SUM(N83:P83)</f>
        <v>662254746.49000001</v>
      </c>
      <c r="R83" s="1341"/>
      <c r="S83" s="1355"/>
      <c r="T83" s="1356"/>
      <c r="U83" s="1357"/>
      <c r="V83" s="1358"/>
      <c r="W83" s="1359"/>
    </row>
    <row r="84" spans="1:30" ht="22.5" hidden="1" thickTop="1" x14ac:dyDescent="0.2">
      <c r="E84" s="1360">
        <v>556040229.70999992</v>
      </c>
      <c r="F84" s="1360">
        <v>40958414.041937321</v>
      </c>
      <c r="G84" s="1360">
        <v>42438557.740000002</v>
      </c>
      <c r="H84" s="1360">
        <v>639437201.49193728</v>
      </c>
      <c r="K84" s="1363"/>
      <c r="N84" s="1360"/>
      <c r="O84" s="1360"/>
      <c r="P84" s="1360"/>
      <c r="Q84" s="1360">
        <f>+'ต.ที่ 4-จาก ต.5-61-กิจกรรมหลัก '!E20</f>
        <v>662254746.48999977</v>
      </c>
      <c r="S84" s="1367"/>
      <c r="U84" s="1317"/>
      <c r="V84" s="1317"/>
      <c r="W84" s="1368"/>
    </row>
    <row r="85" spans="1:30" ht="22.5" thickTop="1" x14ac:dyDescent="0.5">
      <c r="A85" s="1369" t="s">
        <v>581</v>
      </c>
      <c r="B85" s="1370"/>
      <c r="C85" s="1370"/>
      <c r="D85" s="1370"/>
      <c r="E85" s="1370"/>
      <c r="F85" s="1370"/>
      <c r="G85" s="1370"/>
      <c r="H85" s="1370">
        <f>+H83-H84</f>
        <v>0</v>
      </c>
      <c r="I85" s="1370"/>
      <c r="J85" s="1370"/>
      <c r="K85" s="1370"/>
      <c r="L85" s="1371"/>
      <c r="M85" s="1371"/>
      <c r="N85" s="1371"/>
      <c r="O85" s="1371"/>
      <c r="P85" s="1317"/>
      <c r="Q85" s="1317"/>
      <c r="S85" s="1367"/>
      <c r="U85" s="1317"/>
      <c r="V85" s="1317"/>
      <c r="W85" s="1368"/>
    </row>
    <row r="86" spans="1:30" x14ac:dyDescent="0.2">
      <c r="A86" s="1372" t="s">
        <v>473</v>
      </c>
      <c r="H86" s="1317"/>
      <c r="U86" s="1317"/>
      <c r="V86" s="1317"/>
      <c r="W86" s="1368"/>
    </row>
    <row r="87" spans="1:30" x14ac:dyDescent="0.2">
      <c r="A87" s="1372" t="s">
        <v>474</v>
      </c>
      <c r="U87" s="1317"/>
      <c r="V87" s="1317"/>
      <c r="W87" s="1368"/>
    </row>
    <row r="88" spans="1:30" x14ac:dyDescent="0.2">
      <c r="U88" s="1317"/>
      <c r="V88" s="1317"/>
      <c r="W88" s="1368"/>
    </row>
    <row r="89" spans="1:30" x14ac:dyDescent="0.2">
      <c r="U89" s="1317"/>
      <c r="V89" s="1317"/>
      <c r="W89" s="1368"/>
    </row>
    <row r="90" spans="1:30" x14ac:dyDescent="0.2">
      <c r="U90" s="1317"/>
      <c r="V90" s="1317"/>
      <c r="W90" s="1368"/>
    </row>
    <row r="91" spans="1:30" x14ac:dyDescent="0.2">
      <c r="U91" s="1317"/>
      <c r="V91" s="1317"/>
      <c r="W91" s="1368"/>
    </row>
    <row r="92" spans="1:30" x14ac:dyDescent="0.2">
      <c r="U92" s="1317"/>
      <c r="V92" s="1317"/>
      <c r="W92" s="1368"/>
    </row>
    <row r="93" spans="1:30" x14ac:dyDescent="0.2">
      <c r="U93" s="1317"/>
      <c r="V93" s="1317"/>
      <c r="W93" s="1368"/>
    </row>
    <row r="94" spans="1:30" x14ac:dyDescent="0.2">
      <c r="U94" s="1317"/>
      <c r="V94" s="1317"/>
      <c r="W94" s="1368"/>
    </row>
    <row r="95" spans="1:30" x14ac:dyDescent="0.2">
      <c r="U95" s="1317"/>
      <c r="V95" s="1317"/>
      <c r="W95" s="1368"/>
    </row>
    <row r="96" spans="1:30" x14ac:dyDescent="0.2">
      <c r="U96" s="1317"/>
      <c r="V96" s="1317"/>
      <c r="W96" s="1368"/>
    </row>
    <row r="97" spans="21:23" x14ac:dyDescent="0.2">
      <c r="U97" s="1317"/>
      <c r="V97" s="1317"/>
      <c r="W97" s="1368"/>
    </row>
    <row r="98" spans="21:23" x14ac:dyDescent="0.2">
      <c r="U98" s="1317"/>
      <c r="V98" s="1317"/>
      <c r="W98" s="1368"/>
    </row>
    <row r="99" spans="21:23" x14ac:dyDescent="0.2">
      <c r="U99" s="1317"/>
      <c r="V99" s="1317"/>
      <c r="W99" s="1368"/>
    </row>
    <row r="100" spans="21:23" x14ac:dyDescent="0.2">
      <c r="W100" s="1374"/>
    </row>
    <row r="101" spans="21:23" x14ac:dyDescent="0.2">
      <c r="W101" s="1374"/>
    </row>
    <row r="102" spans="21:23" x14ac:dyDescent="0.2">
      <c r="W102" s="1374"/>
    </row>
    <row r="103" spans="21:23" x14ac:dyDescent="0.2">
      <c r="W103" s="1374"/>
    </row>
    <row r="104" spans="21:23" x14ac:dyDescent="0.2">
      <c r="W104" s="1374"/>
    </row>
    <row r="105" spans="21:23" x14ac:dyDescent="0.2">
      <c r="W105" s="1374"/>
    </row>
    <row r="106" spans="21:23" x14ac:dyDescent="0.2">
      <c r="W106" s="1374"/>
    </row>
    <row r="107" spans="21:23" x14ac:dyDescent="0.2">
      <c r="W107" s="1374"/>
    </row>
    <row r="108" spans="21:23" x14ac:dyDescent="0.2">
      <c r="W108" s="1374"/>
    </row>
    <row r="109" spans="21:23" x14ac:dyDescent="0.2">
      <c r="W109" s="1374"/>
    </row>
    <row r="110" spans="21:23" x14ac:dyDescent="0.2">
      <c r="W110" s="1374"/>
    </row>
    <row r="111" spans="21:23" x14ac:dyDescent="0.2">
      <c r="W111" s="1374"/>
    </row>
    <row r="112" spans="21:23" x14ac:dyDescent="0.2">
      <c r="W112" s="1374"/>
    </row>
    <row r="113" spans="23:23" x14ac:dyDescent="0.2">
      <c r="W113" s="1374"/>
    </row>
    <row r="114" spans="23:23" x14ac:dyDescent="0.2">
      <c r="W114" s="1374"/>
    </row>
    <row r="115" spans="23:23" x14ac:dyDescent="0.2">
      <c r="W115" s="1374"/>
    </row>
    <row r="116" spans="23:23" x14ac:dyDescent="0.2">
      <c r="W116" s="1374"/>
    </row>
    <row r="117" spans="23:23" x14ac:dyDescent="0.2">
      <c r="W117" s="1374"/>
    </row>
    <row r="118" spans="23:23" x14ac:dyDescent="0.2">
      <c r="W118" s="1374"/>
    </row>
    <row r="119" spans="23:23" x14ac:dyDescent="0.2">
      <c r="W119" s="1374"/>
    </row>
    <row r="120" spans="23:23" x14ac:dyDescent="0.2">
      <c r="W120" s="1374"/>
    </row>
    <row r="121" spans="23:23" x14ac:dyDescent="0.2">
      <c r="W121" s="1374"/>
    </row>
    <row r="122" spans="23:23" x14ac:dyDescent="0.2">
      <c r="W122" s="1374"/>
    </row>
    <row r="123" spans="23:23" x14ac:dyDescent="0.2">
      <c r="W123" s="1374"/>
    </row>
    <row r="124" spans="23:23" x14ac:dyDescent="0.2">
      <c r="W124" s="1374"/>
    </row>
    <row r="125" spans="23:23" x14ac:dyDescent="0.2">
      <c r="W125" s="1374"/>
    </row>
    <row r="126" spans="23:23" x14ac:dyDescent="0.2">
      <c r="W126" s="1374"/>
    </row>
    <row r="127" spans="23:23" x14ac:dyDescent="0.2">
      <c r="W127" s="1374"/>
    </row>
    <row r="128" spans="23:23" x14ac:dyDescent="0.2">
      <c r="W128" s="1374"/>
    </row>
    <row r="129" spans="23:23" x14ac:dyDescent="0.2">
      <c r="W129" s="1374"/>
    </row>
    <row r="130" spans="23:23" x14ac:dyDescent="0.2">
      <c r="W130" s="1374"/>
    </row>
    <row r="131" spans="23:23" x14ac:dyDescent="0.2">
      <c r="W131" s="1374"/>
    </row>
    <row r="132" spans="23:23" x14ac:dyDescent="0.2">
      <c r="W132" s="1374"/>
    </row>
    <row r="133" spans="23:23" x14ac:dyDescent="0.2">
      <c r="W133" s="1374"/>
    </row>
    <row r="134" spans="23:23" x14ac:dyDescent="0.2">
      <c r="W134" s="1374"/>
    </row>
    <row r="135" spans="23:23" x14ac:dyDescent="0.2">
      <c r="W135" s="1374"/>
    </row>
    <row r="136" spans="23:23" x14ac:dyDescent="0.2">
      <c r="W136" s="1374"/>
    </row>
    <row r="137" spans="23:23" x14ac:dyDescent="0.2">
      <c r="W137" s="1374"/>
    </row>
  </sheetData>
  <mergeCells count="8">
    <mergeCell ref="L64:M64"/>
    <mergeCell ref="A64:B64"/>
    <mergeCell ref="A1:W1"/>
    <mergeCell ref="L3:M4"/>
    <mergeCell ref="N3:T3"/>
    <mergeCell ref="U3:W3"/>
    <mergeCell ref="E3:K3"/>
    <mergeCell ref="A3:B4"/>
  </mergeCells>
  <phoneticPr fontId="4" type="noConversion"/>
  <pageMargins left="0.19685039370078741" right="0" top="0.59055118110236227" bottom="0.19685039370078741" header="0" footer="0"/>
  <pageSetup paperSize="9" scale="53" orientation="landscape" r:id="rId1"/>
  <headerFooter alignWithMargins="0"/>
  <rowBreaks count="3" manualBreakCount="3">
    <brk id="24" max="16383" man="1"/>
    <brk id="39" max="16383" man="1"/>
    <brk id="58" max="16383" man="1"/>
  </rowBreaks>
  <colBreaks count="1" manualBreakCount="1">
    <brk id="24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N78"/>
  <sheetViews>
    <sheetView view="pageBreakPreview" zoomScale="115" zoomScaleNormal="100" zoomScaleSheetLayoutView="115" workbookViewId="0">
      <selection activeCell="C17" sqref="C17"/>
    </sheetView>
  </sheetViews>
  <sheetFormatPr defaultColWidth="36.85546875" defaultRowHeight="21.75" x14ac:dyDescent="0.2"/>
  <cols>
    <col min="1" max="1" width="5.28515625" style="7" customWidth="1"/>
    <col min="2" max="2" width="30.85546875" style="7" customWidth="1"/>
    <col min="3" max="3" width="90.5703125" style="7" customWidth="1"/>
    <col min="4" max="4" width="11" style="4" customWidth="1"/>
    <col min="5" max="16384" width="36.85546875" style="7"/>
  </cols>
  <sheetData>
    <row r="1" spans="1:4" s="72" customFormat="1" ht="23.25" x14ac:dyDescent="0.2">
      <c r="A1" s="72" t="s">
        <v>393</v>
      </c>
    </row>
    <row r="2" spans="1:4" s="71" customFormat="1" ht="24" thickBot="1" x14ac:dyDescent="0.6">
      <c r="B2" s="71" t="s">
        <v>124</v>
      </c>
    </row>
    <row r="3" spans="1:4" s="81" customFormat="1" ht="24" thickBot="1" x14ac:dyDescent="0.25">
      <c r="A3" s="1534" t="s">
        <v>394</v>
      </c>
      <c r="B3" s="1535"/>
      <c r="C3" s="80" t="s">
        <v>255</v>
      </c>
      <c r="D3" s="72"/>
    </row>
    <row r="4" spans="1:4" s="81" customFormat="1" ht="23.25" x14ac:dyDescent="0.2">
      <c r="A4" s="703" t="s">
        <v>79</v>
      </c>
      <c r="B4" s="702"/>
      <c r="C4" s="701"/>
      <c r="D4" s="72"/>
    </row>
    <row r="5" spans="1:4" x14ac:dyDescent="0.2">
      <c r="A5" s="713" t="s">
        <v>240</v>
      </c>
      <c r="B5" s="229"/>
      <c r="C5" s="708" t="s">
        <v>457</v>
      </c>
      <c r="D5" s="7"/>
    </row>
    <row r="6" spans="1:4" ht="87" x14ac:dyDescent="0.2">
      <c r="A6" s="457">
        <v>504</v>
      </c>
      <c r="B6" s="229" t="s">
        <v>179</v>
      </c>
      <c r="C6" s="776" t="s">
        <v>571</v>
      </c>
      <c r="D6" s="7"/>
    </row>
    <row r="7" spans="1:4" ht="22.5" thickBot="1" x14ac:dyDescent="0.25">
      <c r="A7" s="452"/>
      <c r="B7" s="470"/>
      <c r="C7" s="472"/>
      <c r="D7" s="7"/>
    </row>
    <row r="8" spans="1:4" x14ac:dyDescent="0.2">
      <c r="A8" s="704" t="s">
        <v>93</v>
      </c>
      <c r="B8" s="705"/>
      <c r="C8" s="765" t="s">
        <v>563</v>
      </c>
      <c r="D8" s="7"/>
    </row>
    <row r="9" spans="1:4" ht="174" x14ac:dyDescent="0.2">
      <c r="A9" s="457">
        <v>601</v>
      </c>
      <c r="B9" s="95" t="s">
        <v>455</v>
      </c>
      <c r="C9" s="777" t="s">
        <v>569</v>
      </c>
      <c r="D9" s="7"/>
    </row>
    <row r="10" spans="1:4" ht="22.5" thickBot="1" x14ac:dyDescent="0.25">
      <c r="A10" s="452"/>
      <c r="B10" s="706"/>
      <c r="C10" s="472"/>
      <c r="D10" s="7"/>
    </row>
    <row r="11" spans="1:4" s="4" customFormat="1" x14ac:dyDescent="0.2">
      <c r="A11" s="473" t="s">
        <v>82</v>
      </c>
      <c r="B11" s="474"/>
      <c r="C11" s="475"/>
    </row>
    <row r="12" spans="1:4" x14ac:dyDescent="0.2">
      <c r="A12" s="713" t="s">
        <v>89</v>
      </c>
      <c r="B12" s="229"/>
      <c r="C12" s="708" t="s">
        <v>458</v>
      </c>
      <c r="D12" s="7"/>
    </row>
    <row r="13" spans="1:4" ht="65.25" x14ac:dyDescent="0.2">
      <c r="A13" s="457">
        <v>304</v>
      </c>
      <c r="B13" s="229" t="s">
        <v>98</v>
      </c>
      <c r="C13" s="778" t="s">
        <v>566</v>
      </c>
      <c r="D13" s="7"/>
    </row>
    <row r="14" spans="1:4" x14ac:dyDescent="0.2">
      <c r="A14" s="468"/>
      <c r="B14" s="247"/>
      <c r="C14" s="469"/>
      <c r="D14" s="7"/>
    </row>
    <row r="15" spans="1:4" x14ac:dyDescent="0.2">
      <c r="A15" s="457">
        <v>305</v>
      </c>
      <c r="B15" s="229" t="s">
        <v>130</v>
      </c>
      <c r="C15" s="708" t="s">
        <v>458</v>
      </c>
      <c r="D15" s="7"/>
    </row>
    <row r="16" spans="1:4" ht="87" x14ac:dyDescent="0.2">
      <c r="A16" s="457"/>
      <c r="B16" s="229"/>
      <c r="C16" s="1441" t="s">
        <v>578</v>
      </c>
      <c r="D16" s="7"/>
    </row>
    <row r="17" spans="1:4" x14ac:dyDescent="0.2">
      <c r="A17" s="468"/>
      <c r="B17" s="247"/>
      <c r="C17" s="469"/>
      <c r="D17" s="7"/>
    </row>
    <row r="18" spans="1:4" x14ac:dyDescent="0.2">
      <c r="A18" s="713" t="s">
        <v>240</v>
      </c>
      <c r="B18" s="229"/>
      <c r="C18" s="708" t="s">
        <v>458</v>
      </c>
      <c r="D18" s="7"/>
    </row>
    <row r="19" spans="1:4" ht="65.25" x14ac:dyDescent="0.2">
      <c r="A19" s="457">
        <v>505</v>
      </c>
      <c r="B19" s="229" t="s">
        <v>303</v>
      </c>
      <c r="C19" s="779" t="s">
        <v>568</v>
      </c>
      <c r="D19" s="7"/>
    </row>
    <row r="20" spans="1:4" ht="22.5" thickBot="1" x14ac:dyDescent="0.25">
      <c r="A20" s="477"/>
      <c r="B20" s="470"/>
      <c r="C20" s="476"/>
      <c r="D20" s="7"/>
    </row>
    <row r="21" spans="1:4" hidden="1" x14ac:dyDescent="0.2">
      <c r="A21" s="1442"/>
      <c r="B21" s="94"/>
      <c r="C21" s="230"/>
      <c r="D21" s="7"/>
    </row>
    <row r="22" spans="1:4" s="342" customFormat="1" ht="15" hidden="1" x14ac:dyDescent="0.35">
      <c r="A22" s="1443"/>
      <c r="B22" s="1444"/>
      <c r="C22" s="1445"/>
    </row>
    <row r="23" spans="1:4" s="342" customFormat="1" ht="15" hidden="1" x14ac:dyDescent="0.35">
      <c r="A23" s="1443"/>
      <c r="B23" s="1444"/>
      <c r="C23" s="1445"/>
    </row>
    <row r="24" spans="1:4" s="342" customFormat="1" ht="15" hidden="1" x14ac:dyDescent="0.35">
      <c r="A24" s="1443"/>
      <c r="B24" s="1444"/>
      <c r="C24" s="1445"/>
    </row>
    <row r="25" spans="1:4" s="342" customFormat="1" ht="15" hidden="1" x14ac:dyDescent="0.35">
      <c r="A25" s="1443"/>
      <c r="B25" s="1444"/>
      <c r="C25" s="1445"/>
    </row>
    <row r="26" spans="1:4" hidden="1" x14ac:dyDescent="0.2">
      <c r="A26" s="1442"/>
      <c r="B26" s="94"/>
      <c r="C26" s="230"/>
      <c r="D26" s="7"/>
    </row>
    <row r="27" spans="1:4" hidden="1" x14ac:dyDescent="0.2">
      <c r="A27" s="457"/>
      <c r="B27" s="92"/>
      <c r="C27" s="1446"/>
    </row>
    <row r="28" spans="1:4" s="72" customFormat="1" ht="23.25" hidden="1" x14ac:dyDescent="0.2">
      <c r="A28" s="1447" t="s">
        <v>300</v>
      </c>
      <c r="B28" s="1448"/>
      <c r="C28" s="1449"/>
    </row>
    <row r="29" spans="1:4" s="71" customFormat="1" ht="23.25" hidden="1" x14ac:dyDescent="0.55000000000000004">
      <c r="A29" s="1450"/>
      <c r="B29" s="1451" t="s">
        <v>124</v>
      </c>
      <c r="C29" s="1452"/>
    </row>
    <row r="30" spans="1:4" s="81" customFormat="1" ht="24" hidden="1" thickBot="1" x14ac:dyDescent="0.25">
      <c r="A30" s="1534" t="s">
        <v>312</v>
      </c>
      <c r="B30" s="1535"/>
      <c r="C30" s="80" t="s">
        <v>255</v>
      </c>
      <c r="D30" s="72"/>
    </row>
    <row r="31" spans="1:4" ht="18.75" hidden="1" customHeight="1" x14ac:dyDescent="0.2">
      <c r="A31" s="10" t="s">
        <v>137</v>
      </c>
      <c r="B31" s="238"/>
      <c r="C31" s="136"/>
    </row>
    <row r="32" spans="1:4" ht="18.75" hidden="1" customHeight="1" x14ac:dyDescent="0.2">
      <c r="A32" s="8">
        <v>807</v>
      </c>
      <c r="B32" s="85" t="s">
        <v>183</v>
      </c>
      <c r="C32" s="86" t="s">
        <v>342</v>
      </c>
      <c r="D32" s="7"/>
    </row>
    <row r="33" spans="1:14" s="246" customFormat="1" hidden="1" x14ac:dyDescent="0.2">
      <c r="A33" s="8"/>
      <c r="B33" s="85"/>
      <c r="C33" s="227" t="s">
        <v>343</v>
      </c>
    </row>
    <row r="34" spans="1:14" ht="18.75" hidden="1" customHeight="1" x14ac:dyDescent="0.2">
      <c r="A34" s="8"/>
      <c r="B34" s="85"/>
      <c r="C34" s="227"/>
      <c r="D34" s="7"/>
    </row>
    <row r="35" spans="1:14" ht="18.75" hidden="1" customHeight="1" thickBot="1" x14ac:dyDescent="0.25">
      <c r="A35" s="89"/>
      <c r="B35" s="90"/>
      <c r="C35" s="239"/>
      <c r="D35" s="7"/>
    </row>
    <row r="36" spans="1:14" hidden="1" x14ac:dyDescent="0.2">
      <c r="A36" s="240" t="s">
        <v>240</v>
      </c>
      <c r="B36" s="238"/>
      <c r="C36" s="136"/>
    </row>
    <row r="37" spans="1:14" hidden="1" x14ac:dyDescent="0.2">
      <c r="A37" s="6">
        <v>500</v>
      </c>
      <c r="B37" s="85" t="s">
        <v>144</v>
      </c>
      <c r="C37" s="86" t="s">
        <v>408</v>
      </c>
      <c r="D37" s="7"/>
    </row>
    <row r="38" spans="1:14" hidden="1" x14ac:dyDescent="0.2">
      <c r="A38" s="8"/>
      <c r="B38" s="85"/>
      <c r="C38" s="86" t="s">
        <v>344</v>
      </c>
      <c r="D38" s="7"/>
    </row>
    <row r="39" spans="1:14" ht="65.25" hidden="1" x14ac:dyDescent="0.2">
      <c r="A39" s="8"/>
      <c r="B39" s="85"/>
      <c r="C39" s="453" t="s">
        <v>345</v>
      </c>
      <c r="D39" s="7"/>
    </row>
    <row r="40" spans="1:14" ht="65.25" hidden="1" x14ac:dyDescent="0.2">
      <c r="A40" s="8"/>
      <c r="B40" s="85"/>
      <c r="C40" s="453" t="s">
        <v>346</v>
      </c>
      <c r="D40" s="7"/>
    </row>
    <row r="41" spans="1:14" ht="65.25" hidden="1" x14ac:dyDescent="0.2">
      <c r="A41" s="8"/>
      <c r="B41" s="85"/>
      <c r="C41" s="453" t="s">
        <v>347</v>
      </c>
      <c r="D41" s="7"/>
    </row>
    <row r="42" spans="1:14" hidden="1" x14ac:dyDescent="0.2">
      <c r="A42" s="8"/>
      <c r="B42" s="85"/>
      <c r="C42" s="456" t="s">
        <v>348</v>
      </c>
      <c r="D42" s="135"/>
      <c r="E42" s="92"/>
      <c r="F42" s="92"/>
      <c r="G42" s="92"/>
      <c r="H42" s="92"/>
      <c r="I42" s="92"/>
      <c r="J42" s="92"/>
      <c r="K42" s="92"/>
      <c r="L42" s="92"/>
      <c r="M42" s="92"/>
      <c r="N42" s="92"/>
    </row>
    <row r="43" spans="1:14" ht="43.5" hidden="1" x14ac:dyDescent="0.2">
      <c r="A43" s="8"/>
      <c r="B43" s="85"/>
      <c r="C43" s="453" t="s">
        <v>349</v>
      </c>
      <c r="D43" s="135"/>
      <c r="E43" s="92"/>
      <c r="F43" s="92"/>
      <c r="G43" s="92"/>
      <c r="H43" s="92"/>
      <c r="I43" s="92"/>
      <c r="J43" s="92"/>
      <c r="K43" s="92"/>
      <c r="L43" s="92"/>
      <c r="M43" s="92"/>
      <c r="N43" s="92"/>
    </row>
    <row r="44" spans="1:14" ht="65.25" hidden="1" x14ac:dyDescent="0.2">
      <c r="A44" s="8"/>
      <c r="B44" s="85"/>
      <c r="C44" s="453" t="s">
        <v>350</v>
      </c>
    </row>
    <row r="45" spans="1:14" hidden="1" x14ac:dyDescent="0.2">
      <c r="A45" s="8"/>
      <c r="B45" s="85"/>
      <c r="C45" s="86"/>
    </row>
    <row r="46" spans="1:14" hidden="1" x14ac:dyDescent="0.2">
      <c r="A46" s="8">
        <v>501</v>
      </c>
      <c r="B46" s="85" t="s">
        <v>145</v>
      </c>
      <c r="C46" s="86" t="s">
        <v>409</v>
      </c>
    </row>
    <row r="47" spans="1:14" hidden="1" x14ac:dyDescent="0.2">
      <c r="A47" s="8"/>
      <c r="B47" s="85"/>
      <c r="C47" s="456" t="s">
        <v>351</v>
      </c>
    </row>
    <row r="48" spans="1:14" ht="43.5" hidden="1" x14ac:dyDescent="0.2">
      <c r="A48" s="8"/>
      <c r="B48" s="85"/>
      <c r="C48" s="453" t="s">
        <v>352</v>
      </c>
    </row>
    <row r="49" spans="1:3" ht="43.5" hidden="1" x14ac:dyDescent="0.2">
      <c r="A49" s="8"/>
      <c r="B49" s="85"/>
      <c r="C49" s="453" t="s">
        <v>353</v>
      </c>
    </row>
    <row r="50" spans="1:3" hidden="1" x14ac:dyDescent="0.2">
      <c r="A50" s="8"/>
      <c r="B50" s="85"/>
      <c r="C50" s="227"/>
    </row>
    <row r="51" spans="1:3" hidden="1" x14ac:dyDescent="0.2">
      <c r="A51" s="8">
        <v>502</v>
      </c>
      <c r="B51" s="85" t="s">
        <v>146</v>
      </c>
      <c r="C51" s="86" t="s">
        <v>408</v>
      </c>
    </row>
    <row r="52" spans="1:3" hidden="1" x14ac:dyDescent="0.2">
      <c r="A52" s="8"/>
      <c r="B52" s="85"/>
      <c r="C52" s="456" t="s">
        <v>354</v>
      </c>
    </row>
    <row r="53" spans="1:3" ht="65.25" hidden="1" x14ac:dyDescent="0.2">
      <c r="A53" s="8"/>
      <c r="B53" s="85"/>
      <c r="C53" s="227" t="s">
        <v>355</v>
      </c>
    </row>
    <row r="54" spans="1:3" hidden="1" x14ac:dyDescent="0.2">
      <c r="A54" s="8"/>
      <c r="B54" s="85"/>
      <c r="C54" s="456" t="s">
        <v>356</v>
      </c>
    </row>
    <row r="55" spans="1:3" ht="65.25" hidden="1" x14ac:dyDescent="0.2">
      <c r="A55" s="8"/>
      <c r="B55" s="85"/>
      <c r="C55" s="453" t="s">
        <v>357</v>
      </c>
    </row>
    <row r="56" spans="1:3" ht="43.5" hidden="1" x14ac:dyDescent="0.2">
      <c r="A56" s="8"/>
      <c r="B56" s="85"/>
      <c r="C56" s="453" t="s">
        <v>358</v>
      </c>
    </row>
    <row r="57" spans="1:3" hidden="1" x14ac:dyDescent="0.2">
      <c r="A57" s="8"/>
      <c r="B57" s="85"/>
      <c r="C57" s="227"/>
    </row>
    <row r="58" spans="1:3" ht="22.5" hidden="1" thickBot="1" x14ac:dyDescent="0.25">
      <c r="A58" s="89"/>
      <c r="B58" s="90"/>
      <c r="C58" s="239"/>
    </row>
    <row r="59" spans="1:3" hidden="1" x14ac:dyDescent="0.2">
      <c r="A59" s="10" t="s">
        <v>92</v>
      </c>
      <c r="B59" s="238"/>
      <c r="C59" s="136"/>
    </row>
    <row r="60" spans="1:3" hidden="1" x14ac:dyDescent="0.2">
      <c r="A60" s="8">
        <v>506</v>
      </c>
      <c r="B60" s="85" t="s">
        <v>208</v>
      </c>
      <c r="C60" s="86" t="s">
        <v>332</v>
      </c>
    </row>
    <row r="61" spans="1:3" hidden="1" x14ac:dyDescent="0.2">
      <c r="A61" s="8"/>
      <c r="B61" s="85"/>
      <c r="C61" s="227"/>
    </row>
    <row r="62" spans="1:3" ht="22.5" hidden="1" thickBot="1" x14ac:dyDescent="0.25">
      <c r="A62" s="89"/>
      <c r="B62" s="90"/>
      <c r="C62" s="239"/>
    </row>
    <row r="63" spans="1:3" hidden="1" x14ac:dyDescent="0.2">
      <c r="A63" s="241" t="s">
        <v>89</v>
      </c>
      <c r="B63" s="82"/>
      <c r="C63" s="242"/>
    </row>
    <row r="64" spans="1:3" hidden="1" x14ac:dyDescent="0.2">
      <c r="A64" s="8">
        <v>301</v>
      </c>
      <c r="B64" s="85" t="s">
        <v>95</v>
      </c>
      <c r="C64" s="227" t="s">
        <v>359</v>
      </c>
    </row>
    <row r="65" spans="1:3" hidden="1" x14ac:dyDescent="0.2">
      <c r="A65" s="8"/>
      <c r="B65" s="85"/>
      <c r="C65" s="227"/>
    </row>
    <row r="66" spans="1:3" hidden="1" x14ac:dyDescent="0.2">
      <c r="A66" s="780"/>
      <c r="B66" s="781"/>
      <c r="C66" s="227"/>
    </row>
    <row r="67" spans="1:3" ht="22.5" hidden="1" thickBot="1" x14ac:dyDescent="0.25">
      <c r="A67" s="12"/>
      <c r="B67" s="130"/>
      <c r="C67" s="239"/>
    </row>
    <row r="68" spans="1:3" hidden="1" x14ac:dyDescent="0.2">
      <c r="A68" s="131">
        <v>305</v>
      </c>
      <c r="B68" s="11" t="s">
        <v>130</v>
      </c>
      <c r="C68" s="242" t="s">
        <v>340</v>
      </c>
    </row>
    <row r="69" spans="1:3" ht="43.5" hidden="1" x14ac:dyDescent="0.2">
      <c r="A69" s="8"/>
      <c r="B69" s="85"/>
      <c r="C69" s="227" t="s">
        <v>341</v>
      </c>
    </row>
    <row r="70" spans="1:3" ht="22.5" hidden="1" thickBot="1" x14ac:dyDescent="0.25">
      <c r="A70" s="12"/>
      <c r="B70" s="130"/>
      <c r="C70" s="239"/>
    </row>
    <row r="71" spans="1:3" hidden="1" x14ac:dyDescent="0.2">
      <c r="A71" s="131" t="s">
        <v>92</v>
      </c>
      <c r="B71" s="11"/>
      <c r="C71" s="242"/>
    </row>
    <row r="72" spans="1:3" ht="43.5" hidden="1" x14ac:dyDescent="0.2">
      <c r="A72" s="6">
        <v>708</v>
      </c>
      <c r="B72" s="191" t="s">
        <v>159</v>
      </c>
      <c r="C72" s="243" t="s">
        <v>291</v>
      </c>
    </row>
    <row r="73" spans="1:3" hidden="1" x14ac:dyDescent="0.2">
      <c r="A73" s="8"/>
      <c r="B73" s="85"/>
      <c r="C73" s="244" t="s">
        <v>360</v>
      </c>
    </row>
    <row r="74" spans="1:3" hidden="1" x14ac:dyDescent="0.2">
      <c r="A74" s="8"/>
      <c r="B74" s="85"/>
      <c r="C74" s="245" t="s">
        <v>361</v>
      </c>
    </row>
    <row r="75" spans="1:3" ht="22.5" hidden="1" thickBot="1" x14ac:dyDescent="0.25">
      <c r="A75" s="12"/>
      <c r="B75" s="130"/>
      <c r="C75" s="239"/>
    </row>
    <row r="76" spans="1:3" hidden="1" x14ac:dyDescent="0.2">
      <c r="A76" s="457"/>
      <c r="B76" s="92"/>
      <c r="C76" s="1446"/>
    </row>
    <row r="77" spans="1:3" hidden="1" x14ac:dyDescent="0.2">
      <c r="A77" s="457"/>
      <c r="B77" s="92"/>
      <c r="C77" s="1446"/>
    </row>
    <row r="78" spans="1:3" ht="22.5" thickBot="1" x14ac:dyDescent="0.25">
      <c r="A78" s="452"/>
      <c r="B78" s="1453"/>
      <c r="C78" s="1454"/>
    </row>
  </sheetData>
  <mergeCells count="2">
    <mergeCell ref="A3:B3"/>
    <mergeCell ref="A30:B30"/>
  </mergeCells>
  <pageMargins left="1.1811023622047245" right="0" top="0.74803149606299213" bottom="0.39370078740157483" header="0.39370078740157483" footer="0.39370078740157483"/>
  <pageSetup paperSize="9" scale="85" orientation="landscape" horizontalDpi="0" verticalDpi="0" r:id="rId1"/>
  <rowBreaks count="1" manualBreakCount="1">
    <brk id="14" max="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</sheetPr>
  <dimension ref="A1:T25"/>
  <sheetViews>
    <sheetView view="pageBreakPreview" zoomScale="80" zoomScaleNormal="100" zoomScaleSheetLayoutView="80" workbookViewId="0">
      <pane xSplit="1" ySplit="4" topLeftCell="B14" activePane="bottomRight" state="frozen"/>
      <selection activeCell="E30" sqref="E30"/>
      <selection pane="topRight" activeCell="E30" sqref="E30"/>
      <selection pane="bottomLeft" activeCell="E30" sqref="E30"/>
      <selection pane="bottomRight" sqref="A1:XFD1048576"/>
    </sheetView>
  </sheetViews>
  <sheetFormatPr defaultRowHeight="21.75" x14ac:dyDescent="0.5"/>
  <cols>
    <col min="1" max="1" width="41.140625" style="1380" customWidth="1"/>
    <col min="2" max="2" width="14.85546875" style="1380" bestFit="1" customWidth="1"/>
    <col min="3" max="4" width="14" style="1380" bestFit="1" customWidth="1"/>
    <col min="5" max="5" width="16.28515625" style="1380" bestFit="1" customWidth="1"/>
    <col min="6" max="6" width="6.5703125" style="1380" bestFit="1" customWidth="1"/>
    <col min="7" max="7" width="8.28515625" style="1426" bestFit="1" customWidth="1"/>
    <col min="8" max="8" width="16.28515625" style="1426" customWidth="1"/>
    <col min="9" max="9" width="16.42578125" style="1380" customWidth="1"/>
    <col min="10" max="10" width="15.5703125" style="1380" customWidth="1"/>
    <col min="11" max="11" width="14.5703125" style="1380" customWidth="1"/>
    <col min="12" max="12" width="15.85546875" style="1380" customWidth="1"/>
    <col min="13" max="13" width="7.140625" style="1380" customWidth="1"/>
    <col min="14" max="14" width="8.28515625" style="1380" customWidth="1"/>
    <col min="15" max="15" width="15.140625" style="1380" customWidth="1"/>
    <col min="16" max="16" width="9.42578125" style="1426" customWidth="1"/>
    <col min="17" max="17" width="9.7109375" style="1380" customWidth="1"/>
    <col min="18" max="18" width="10.7109375" style="1380" customWidth="1"/>
    <col min="19" max="19" width="6.85546875" style="1380" customWidth="1"/>
    <col min="20" max="20" width="7.7109375" style="1380" customWidth="1"/>
    <col min="21" max="16384" width="9.140625" style="1380"/>
  </cols>
  <sheetData>
    <row r="1" spans="1:20" s="1375" customFormat="1" ht="24" x14ac:dyDescent="0.55000000000000004">
      <c r="A1" s="1537" t="s">
        <v>391</v>
      </c>
      <c r="B1" s="1537"/>
      <c r="C1" s="1537"/>
      <c r="D1" s="1537"/>
      <c r="E1" s="1537"/>
      <c r="F1" s="1537"/>
      <c r="G1" s="1537"/>
      <c r="H1" s="1537"/>
      <c r="I1" s="1537"/>
      <c r="J1" s="1537"/>
      <c r="K1" s="1537"/>
      <c r="L1" s="1537"/>
      <c r="M1" s="1537"/>
      <c r="N1" s="1537"/>
      <c r="O1" s="1537"/>
      <c r="P1" s="1537"/>
      <c r="Q1" s="1537"/>
      <c r="R1" s="1537"/>
      <c r="S1" s="1537"/>
      <c r="T1" s="1537"/>
    </row>
    <row r="2" spans="1:20" s="1375" customFormat="1" ht="24.75" thickBot="1" x14ac:dyDescent="0.6">
      <c r="A2" s="1376" t="s">
        <v>395</v>
      </c>
      <c r="G2" s="1377"/>
      <c r="H2" s="1377"/>
      <c r="P2" s="1377"/>
      <c r="R2" s="1378" t="s">
        <v>264</v>
      </c>
    </row>
    <row r="3" spans="1:20" x14ac:dyDescent="0.5">
      <c r="A3" s="1538" t="s">
        <v>87</v>
      </c>
      <c r="B3" s="1529" t="s">
        <v>326</v>
      </c>
      <c r="C3" s="1527"/>
      <c r="D3" s="1527"/>
      <c r="E3" s="1527"/>
      <c r="F3" s="1527"/>
      <c r="G3" s="1527"/>
      <c r="H3" s="1528"/>
      <c r="I3" s="1529" t="s">
        <v>392</v>
      </c>
      <c r="J3" s="1527"/>
      <c r="K3" s="1527"/>
      <c r="L3" s="1527"/>
      <c r="M3" s="1527"/>
      <c r="N3" s="1527"/>
      <c r="O3" s="1528"/>
      <c r="P3" s="1540" t="s">
        <v>120</v>
      </c>
      <c r="Q3" s="1541"/>
      <c r="R3" s="1542"/>
      <c r="S3" s="1379"/>
      <c r="T3" s="1379"/>
    </row>
    <row r="4" spans="1:20" ht="65.25" x14ac:dyDescent="0.5">
      <c r="A4" s="1539"/>
      <c r="B4" s="1381" t="s">
        <v>67</v>
      </c>
      <c r="C4" s="1382" t="s">
        <v>69</v>
      </c>
      <c r="D4" s="1382" t="s">
        <v>77</v>
      </c>
      <c r="E4" s="1382" t="s">
        <v>78</v>
      </c>
      <c r="F4" s="1382" t="s">
        <v>83</v>
      </c>
      <c r="G4" s="1382" t="s">
        <v>81</v>
      </c>
      <c r="H4" s="1383" t="s">
        <v>88</v>
      </c>
      <c r="I4" s="1384" t="s">
        <v>67</v>
      </c>
      <c r="J4" s="1382" t="s">
        <v>69</v>
      </c>
      <c r="K4" s="1385" t="s">
        <v>77</v>
      </c>
      <c r="L4" s="1382" t="s">
        <v>78</v>
      </c>
      <c r="M4" s="1382" t="s">
        <v>83</v>
      </c>
      <c r="N4" s="1382" t="s">
        <v>81</v>
      </c>
      <c r="O4" s="1383" t="s">
        <v>88</v>
      </c>
      <c r="P4" s="1381" t="s">
        <v>121</v>
      </c>
      <c r="Q4" s="1382" t="s">
        <v>122</v>
      </c>
      <c r="R4" s="1383" t="s">
        <v>123</v>
      </c>
    </row>
    <row r="5" spans="1:20" s="741" customFormat="1" ht="43.5" x14ac:dyDescent="0.2">
      <c r="A5" s="1386" t="s">
        <v>321</v>
      </c>
      <c r="B5" s="1387">
        <v>57934702.940993406</v>
      </c>
      <c r="C5" s="1388">
        <v>5210570.8750913572</v>
      </c>
      <c r="D5" s="1389">
        <v>1545952.743854458</v>
      </c>
      <c r="E5" s="1390">
        <f>SUM(B5:D5)</f>
        <v>64691226.559939221</v>
      </c>
      <c r="F5" s="1391">
        <v>21</v>
      </c>
      <c r="G5" s="1392" t="s">
        <v>1</v>
      </c>
      <c r="H5" s="1393">
        <f>+E5/F5</f>
        <v>3080534.5980923437</v>
      </c>
      <c r="I5" s="1387">
        <f>+'ต.ที่ 4-จาก ต.5-61-กิจกรรมหลัก '!B4</f>
        <v>55187485.469265364</v>
      </c>
      <c r="J5" s="1388">
        <f>+'ต.ที่ 4-จาก ต.5-61-กิจกรรมหลัก '!C4</f>
        <v>5118723.4996910105</v>
      </c>
      <c r="K5" s="1394">
        <f>+'ต.ที่ 4-จาก ต.5-61-กิจกรรมหลัก '!D4</f>
        <v>2038306.7310038877</v>
      </c>
      <c r="L5" s="1390">
        <f>SUM(I5:K5)</f>
        <v>62344515.699960262</v>
      </c>
      <c r="M5" s="1391">
        <f>+'ต.ที่ 4-จาก ต.5-61-กิจกรรมหลัก '!F4</f>
        <v>20</v>
      </c>
      <c r="N5" s="1391" t="str">
        <f>+'ต.ที่ 4-จาก ต.5-61-กิจกรรมหลัก '!G4</f>
        <v>เรื่อง</v>
      </c>
      <c r="O5" s="1393">
        <f>+L5/M5</f>
        <v>3117225.7849980132</v>
      </c>
      <c r="P5" s="1395">
        <f>+L5/E5*100-100</f>
        <v>-3.6275566019831587</v>
      </c>
      <c r="Q5" s="1396">
        <f>+M5/F5*100-100</f>
        <v>-4.7619047619047734</v>
      </c>
      <c r="R5" s="1397">
        <f>+O5/H5*100-100</f>
        <v>1.1910655679176756</v>
      </c>
      <c r="T5" s="741" t="s">
        <v>191</v>
      </c>
    </row>
    <row r="6" spans="1:20" s="741" customFormat="1" x14ac:dyDescent="0.2">
      <c r="A6" s="742" t="s">
        <v>261</v>
      </c>
      <c r="B6" s="743">
        <v>27779751.857564807</v>
      </c>
      <c r="C6" s="744">
        <v>2053192.6088355931</v>
      </c>
      <c r="D6" s="745">
        <v>611436.24964737915</v>
      </c>
      <c r="E6" s="746">
        <f t="shared" ref="E6:E19" si="0">SUM(B6:D6)</f>
        <v>30444380.716047779</v>
      </c>
      <c r="F6" s="747">
        <v>15</v>
      </c>
      <c r="G6" s="748" t="s">
        <v>1</v>
      </c>
      <c r="H6" s="749">
        <f t="shared" ref="H6:H19" si="1">+E6/F6</f>
        <v>2029625.3810698518</v>
      </c>
      <c r="I6" s="750">
        <f>+'ต.ที่ 4-จาก ต.5-61-กิจกรรมหลัก '!B5</f>
        <v>27049758.93736165</v>
      </c>
      <c r="J6" s="751">
        <f>+'ต.ที่ 4-จาก ต.5-61-กิจกรรมหลัก '!C5</f>
        <v>1961583.584698441</v>
      </c>
      <c r="K6" s="752">
        <f>+'ต.ที่ 4-จาก ต.5-61-กิจกรรมหลัก '!D5</f>
        <v>718859.36181869521</v>
      </c>
      <c r="L6" s="746">
        <f t="shared" ref="L6:L20" si="2">SUM(I6:K6)</f>
        <v>29730201.883878786</v>
      </c>
      <c r="M6" s="753">
        <v>13</v>
      </c>
      <c r="N6" s="753" t="str">
        <f>+'ต.ที่ 4-จาก ต.5-61-กิจกรรมหลัก '!G5</f>
        <v>เรื่อง</v>
      </c>
      <c r="O6" s="749">
        <f t="shared" ref="O6:O20" si="3">+L6/M6</f>
        <v>2286938.6064522145</v>
      </c>
      <c r="P6" s="754">
        <f t="shared" ref="P6:P18" si="4">+L6/E6*100-100</f>
        <v>-2.3458477898765011</v>
      </c>
      <c r="Q6" s="755">
        <f t="shared" ref="Q6:Q18" si="5">+M6/F6*100-100</f>
        <v>-13.333333333333329</v>
      </c>
      <c r="R6" s="756">
        <f t="shared" ref="R6:R18" si="6">+O6/H6*100-100</f>
        <v>12.677867934757913</v>
      </c>
    </row>
    <row r="7" spans="1:20" s="741" customFormat="1" ht="29.25" customHeight="1" x14ac:dyDescent="0.2">
      <c r="A7" s="742" t="s">
        <v>262</v>
      </c>
      <c r="B7" s="1398">
        <v>15609500.277824735</v>
      </c>
      <c r="C7" s="751">
        <v>1486311.2833140295</v>
      </c>
      <c r="D7" s="751">
        <v>525648.58805361041</v>
      </c>
      <c r="E7" s="746">
        <f t="shared" si="0"/>
        <v>17621460.149192374</v>
      </c>
      <c r="F7" s="1399">
        <v>2</v>
      </c>
      <c r="G7" s="1400" t="s">
        <v>1</v>
      </c>
      <c r="H7" s="749">
        <f t="shared" si="1"/>
        <v>8810730.0745961871</v>
      </c>
      <c r="I7" s="750">
        <f>+'ต.ที่ 4-จาก ต.5-61-กิจกรรมหลัก '!B6</f>
        <v>15406294.129486185</v>
      </c>
      <c r="J7" s="751">
        <f>+'ต.ที่ 4-จาก ต.5-61-กิจกรรมหลัก '!C6</f>
        <v>1516337.2783264038</v>
      </c>
      <c r="K7" s="752">
        <f>+'ต.ที่ 4-จาก ต.5-61-กิจกรรมหลัก '!D6</f>
        <v>441917.49274920451</v>
      </c>
      <c r="L7" s="746">
        <f t="shared" si="2"/>
        <v>17364548.900561791</v>
      </c>
      <c r="M7" s="753">
        <f>+'ต.ที่ 4-จาก ต.5-61-กิจกรรมหลัก '!F6</f>
        <v>2</v>
      </c>
      <c r="N7" s="753" t="str">
        <f>+'ต.ที่ 4-จาก ต.5-61-กิจกรรมหลัก '!G6</f>
        <v>เรื่อง</v>
      </c>
      <c r="O7" s="749">
        <f t="shared" si="3"/>
        <v>8682274.4502808955</v>
      </c>
      <c r="P7" s="754">
        <f t="shared" si="4"/>
        <v>-1.4579452920214351</v>
      </c>
      <c r="Q7" s="755">
        <f t="shared" si="5"/>
        <v>0</v>
      </c>
      <c r="R7" s="756">
        <f t="shared" si="6"/>
        <v>-1.4579452920214351</v>
      </c>
    </row>
    <row r="8" spans="1:20" s="741" customFormat="1" ht="33" customHeight="1" x14ac:dyDescent="0.2">
      <c r="A8" s="742" t="s">
        <v>322</v>
      </c>
      <c r="B8" s="1398">
        <v>75835343.530082613</v>
      </c>
      <c r="C8" s="751">
        <v>4927607.5694557149</v>
      </c>
      <c r="D8" s="751">
        <v>22215686.636749942</v>
      </c>
      <c r="E8" s="746">
        <f t="shared" si="0"/>
        <v>102978637.73628826</v>
      </c>
      <c r="F8" s="1399">
        <v>5</v>
      </c>
      <c r="G8" s="1400" t="s">
        <v>6</v>
      </c>
      <c r="H8" s="749">
        <f t="shared" si="1"/>
        <v>20595727.547257654</v>
      </c>
      <c r="I8" s="750">
        <f>+'ต.ที่ 4-จาก ต.5-61-กิจกรรมหลัก '!B7</f>
        <v>71124091.683095217</v>
      </c>
      <c r="J8" s="751">
        <f>+'ต.ที่ 4-จาก ต.5-61-กิจกรรมหลัก '!C7</f>
        <v>3856346.7802163437</v>
      </c>
      <c r="K8" s="752">
        <f>+'ต.ที่ 4-จาก ต.5-61-กิจกรรมหลัก '!D7</f>
        <v>17095358.419189461</v>
      </c>
      <c r="L8" s="746">
        <f t="shared" si="2"/>
        <v>92075796.882501006</v>
      </c>
      <c r="M8" s="753">
        <f>+'ต.ที่ 4-จาก ต.5-61-กิจกรรมหลัก '!F7</f>
        <v>5</v>
      </c>
      <c r="N8" s="753" t="str">
        <f>+'ต.ที่ 4-จาก ต.5-61-กิจกรรมหลัก '!G7</f>
        <v>ระบบ</v>
      </c>
      <c r="O8" s="749">
        <f t="shared" si="3"/>
        <v>18415159.3765002</v>
      </c>
      <c r="P8" s="754">
        <f t="shared" si="4"/>
        <v>-10.587478231852003</v>
      </c>
      <c r="Q8" s="755">
        <f t="shared" si="5"/>
        <v>0</v>
      </c>
      <c r="R8" s="756">
        <f t="shared" si="6"/>
        <v>-10.587478231852018</v>
      </c>
    </row>
    <row r="9" spans="1:20" s="741" customFormat="1" ht="43.5" x14ac:dyDescent="0.2">
      <c r="A9" s="742" t="s">
        <v>323</v>
      </c>
      <c r="B9" s="1398">
        <v>256177646.85190475</v>
      </c>
      <c r="C9" s="751">
        <v>17827586.329358399</v>
      </c>
      <c r="D9" s="751">
        <v>12399398.995578751</v>
      </c>
      <c r="E9" s="746">
        <f t="shared" si="0"/>
        <v>286404632.17684191</v>
      </c>
      <c r="F9" s="1399">
        <v>5</v>
      </c>
      <c r="G9" s="1400" t="s">
        <v>6</v>
      </c>
      <c r="H9" s="749">
        <f t="shared" si="1"/>
        <v>57280926.435368381</v>
      </c>
      <c r="I9" s="750">
        <f>+'ต.ที่ 4-จาก ต.5-61-กิจกรรมหลัก '!B8</f>
        <v>269112732.21040344</v>
      </c>
      <c r="J9" s="751">
        <f>+'ต.ที่ 4-จาก ต.5-61-กิจกรรมหลัก '!C8</f>
        <v>19272973.259043463</v>
      </c>
      <c r="K9" s="752">
        <f>+'ต.ที่ 4-จาก ต.5-61-กิจกรรมหลัก '!D8</f>
        <v>14509626.761587029</v>
      </c>
      <c r="L9" s="746">
        <f t="shared" si="2"/>
        <v>302895332.23103392</v>
      </c>
      <c r="M9" s="753">
        <f>+'ต.ที่ 4-จาก ต.5-61-กิจกรรมหลัก '!F8</f>
        <v>5</v>
      </c>
      <c r="N9" s="753" t="str">
        <f>+'ต.ที่ 4-จาก ต.5-61-กิจกรรมหลัก '!G8</f>
        <v>ระบบ</v>
      </c>
      <c r="O9" s="749">
        <f t="shared" si="3"/>
        <v>60579066.446206786</v>
      </c>
      <c r="P9" s="754">
        <f t="shared" si="4"/>
        <v>5.7578328705276505</v>
      </c>
      <c r="Q9" s="755">
        <f t="shared" si="5"/>
        <v>0</v>
      </c>
      <c r="R9" s="756">
        <f t="shared" si="6"/>
        <v>5.7578328705276505</v>
      </c>
    </row>
    <row r="10" spans="1:20" s="741" customFormat="1" ht="43.5" x14ac:dyDescent="0.2">
      <c r="A10" s="742" t="s">
        <v>324</v>
      </c>
      <c r="B10" s="1398">
        <v>46210756.128278896</v>
      </c>
      <c r="C10" s="751">
        <v>3752668.3749697465</v>
      </c>
      <c r="D10" s="751">
        <v>1069787.4810688253</v>
      </c>
      <c r="E10" s="746">
        <f t="shared" si="0"/>
        <v>51033211.984317467</v>
      </c>
      <c r="F10" s="1399">
        <v>32</v>
      </c>
      <c r="G10" s="1400" t="s">
        <v>1</v>
      </c>
      <c r="H10" s="749">
        <f t="shared" si="1"/>
        <v>1594787.8745099208</v>
      </c>
      <c r="I10" s="750">
        <f>+'ต.ที่ 4-จาก ต.5-61-กิจกรรมหลัก '!B9</f>
        <v>50045857.987375043</v>
      </c>
      <c r="J10" s="751">
        <f>+'ต.ที่ 4-จาก ต.5-61-กิจกรรมหลัก '!C9</f>
        <v>3545883.6922219633</v>
      </c>
      <c r="K10" s="752">
        <f>+'ต.ที่ 4-จาก ต.5-61-กิจกรรมหลัก '!D9</f>
        <v>1736986.5872879236</v>
      </c>
      <c r="L10" s="746">
        <f t="shared" si="2"/>
        <v>55328728.26688493</v>
      </c>
      <c r="M10" s="753">
        <f>+'ต.ที่ 4-จาก ต.5-61-กิจกรรมหลัก '!F9</f>
        <v>34</v>
      </c>
      <c r="N10" s="753" t="str">
        <f>+'ต.ที่ 4-จาก ต.5-61-กิจกรรมหลัก '!G9</f>
        <v>เรื่อง</v>
      </c>
      <c r="O10" s="749">
        <f t="shared" si="3"/>
        <v>1627315.5372613214</v>
      </c>
      <c r="P10" s="754">
        <f t="shared" si="4"/>
        <v>8.4170996015055408</v>
      </c>
      <c r="Q10" s="755">
        <f t="shared" si="5"/>
        <v>6.25</v>
      </c>
      <c r="R10" s="756">
        <f t="shared" si="6"/>
        <v>2.0396231543581536</v>
      </c>
    </row>
    <row r="11" spans="1:20" s="741" customFormat="1" ht="43.5" x14ac:dyDescent="0.2">
      <c r="A11" s="742" t="s">
        <v>498</v>
      </c>
      <c r="B11" s="1398">
        <v>5567526.2052351544</v>
      </c>
      <c r="C11" s="751">
        <v>466141.42142138752</v>
      </c>
      <c r="D11" s="751">
        <v>122545.95314130517</v>
      </c>
      <c r="E11" s="746">
        <f t="shared" si="0"/>
        <v>6156213.5797978472</v>
      </c>
      <c r="F11" s="747">
        <v>3</v>
      </c>
      <c r="G11" s="748" t="s">
        <v>28</v>
      </c>
      <c r="H11" s="749">
        <f t="shared" si="1"/>
        <v>2052071.1932659491</v>
      </c>
      <c r="I11" s="750">
        <f>+'ต.ที่ 4-จาก ต.5-61-กิจกรรมหลัก '!B10</f>
        <v>5366147.8044980057</v>
      </c>
      <c r="J11" s="751">
        <f>+'ต.ที่ 4-จาก ต.5-61-กิจกรรมหลัก '!C10</f>
        <v>435095.33042029059</v>
      </c>
      <c r="K11" s="752">
        <f>+'ต.ที่ 4-จาก ต.5-61-กิจกรรมหลัก '!D10</f>
        <v>173106.25873316487</v>
      </c>
      <c r="L11" s="746">
        <f t="shared" si="2"/>
        <v>5974349.3936514612</v>
      </c>
      <c r="M11" s="753">
        <f>+'ต.ที่ 4-จาก ต.5-61-กิจกรรมหลัก '!F10</f>
        <v>3</v>
      </c>
      <c r="N11" s="753" t="str">
        <f>+'ต.ที่ 4-จาก ต.5-61-กิจกรรมหลัก '!G10</f>
        <v>ครั้ง</v>
      </c>
      <c r="O11" s="749">
        <f t="shared" si="3"/>
        <v>1991449.7978838205</v>
      </c>
      <c r="P11" s="754">
        <f t="shared" si="4"/>
        <v>-2.9541565410139299</v>
      </c>
      <c r="Q11" s="755">
        <f t="shared" si="5"/>
        <v>0</v>
      </c>
      <c r="R11" s="756">
        <f t="shared" si="6"/>
        <v>-2.9541565410139299</v>
      </c>
    </row>
    <row r="12" spans="1:20" s="741" customFormat="1" ht="45.75" customHeight="1" x14ac:dyDescent="0.2">
      <c r="A12" s="742" t="s">
        <v>518</v>
      </c>
      <c r="B12" s="1398">
        <v>7500327.593764931</v>
      </c>
      <c r="C12" s="751">
        <v>487354.17160433589</v>
      </c>
      <c r="D12" s="751">
        <v>2197193.5477545918</v>
      </c>
      <c r="E12" s="746">
        <f t="shared" si="0"/>
        <v>10184875.313123859</v>
      </c>
      <c r="F12" s="1399">
        <v>1</v>
      </c>
      <c r="G12" s="1400" t="s">
        <v>274</v>
      </c>
      <c r="H12" s="749">
        <f t="shared" si="1"/>
        <v>10184875.313123859</v>
      </c>
      <c r="I12" s="750">
        <f>+'ต.ที่ 4-จาก ต.5-61-กิจกรรมหลัก '!B11</f>
        <v>8323931.3664041217</v>
      </c>
      <c r="J12" s="751">
        <f>+'ต.ที่ 4-จาก ต.5-61-กิจกรรมหลัก '!C11</f>
        <v>451323.386548132</v>
      </c>
      <c r="K12" s="752">
        <f>+'ต.ที่ 4-จาก ต.5-61-กิจกรรมหลัก '!D11</f>
        <v>2000736.8361125086</v>
      </c>
      <c r="L12" s="746">
        <f t="shared" si="2"/>
        <v>10775991.589064762</v>
      </c>
      <c r="M12" s="753">
        <f>+'ต.ที่ 4-จาก ต.5-61-กิจกรรมหลัก '!F11</f>
        <v>1</v>
      </c>
      <c r="N12" s="753" t="str">
        <f>+'ต.ที่ 4-จาก ต.5-61-กิจกรรมหลัก '!G11</f>
        <v>โครงการ</v>
      </c>
      <c r="O12" s="749">
        <f t="shared" si="3"/>
        <v>10775991.589064762</v>
      </c>
      <c r="P12" s="754">
        <f t="shared" si="4"/>
        <v>5.8038636484750299</v>
      </c>
      <c r="Q12" s="755">
        <f t="shared" si="5"/>
        <v>0</v>
      </c>
      <c r="R12" s="756">
        <f t="shared" si="6"/>
        <v>5.8038636484750299</v>
      </c>
    </row>
    <row r="13" spans="1:20" s="741" customFormat="1" ht="43.5" x14ac:dyDescent="0.2">
      <c r="A13" s="742" t="s">
        <v>519</v>
      </c>
      <c r="B13" s="1398">
        <v>1283259.1742457189</v>
      </c>
      <c r="C13" s="751">
        <v>83383.252797929337</v>
      </c>
      <c r="D13" s="751">
        <v>375926.08356113714</v>
      </c>
      <c r="E13" s="746">
        <f>SUM(B13:D13)</f>
        <v>1742568.5106047853</v>
      </c>
      <c r="F13" s="1399">
        <v>882</v>
      </c>
      <c r="G13" s="1400" t="s">
        <v>325</v>
      </c>
      <c r="H13" s="749">
        <f>+E13/F13</f>
        <v>1975.7012591890989</v>
      </c>
      <c r="I13" s="750">
        <f>+'ต.ที่ 4-จาก ต.5-61-กิจกรรมหลัก '!B15</f>
        <v>1424172.632220705</v>
      </c>
      <c r="J13" s="751">
        <f>+'ต.ที่ 4-จาก ต.5-61-กิจกรรมหลัก '!C15</f>
        <v>77218.610667219458</v>
      </c>
      <c r="K13" s="752">
        <f>+'ต.ที่ 4-จาก ต.5-61-กิจกรรมหลัก '!D15</f>
        <v>342313.56805362453</v>
      </c>
      <c r="L13" s="746">
        <f>SUM(I13:K13)</f>
        <v>1843704.810941549</v>
      </c>
      <c r="M13" s="1401">
        <f>+'ต.ที่ 4-จาก ต.5-61-กิจกรรมหลัก '!F15</f>
        <v>882</v>
      </c>
      <c r="N13" s="1401" t="str">
        <f>+'ต.ที่ 4-จาก ต.5-61-กิจกรรมหลัก '!G15</f>
        <v>ศูนย์</v>
      </c>
      <c r="O13" s="749">
        <f>+L13/M13</f>
        <v>2090.3682663736386</v>
      </c>
      <c r="P13" s="754">
        <f>+L13/E13*100-100</f>
        <v>5.8038636484750299</v>
      </c>
      <c r="Q13" s="755">
        <f>+M13/F13*100-100</f>
        <v>0</v>
      </c>
      <c r="R13" s="756">
        <f>+O13/H13*100-100</f>
        <v>5.8038636484750299</v>
      </c>
    </row>
    <row r="14" spans="1:20" s="741" customFormat="1" x14ac:dyDescent="0.2">
      <c r="A14" s="742" t="s">
        <v>520</v>
      </c>
      <c r="B14" s="1398">
        <v>1237228.0456078122</v>
      </c>
      <c r="C14" s="751">
        <v>103586.9825380861</v>
      </c>
      <c r="D14" s="751">
        <v>27232.434031401142</v>
      </c>
      <c r="E14" s="746">
        <f>SUM(B14:D14)</f>
        <v>1368047.4621772994</v>
      </c>
      <c r="F14" s="1399">
        <v>1</v>
      </c>
      <c r="G14" s="1400" t="s">
        <v>1</v>
      </c>
      <c r="H14" s="749">
        <f>+E14/F14</f>
        <v>1368047.4621772994</v>
      </c>
      <c r="I14" s="750"/>
      <c r="J14" s="751"/>
      <c r="K14" s="752"/>
      <c r="L14" s="746">
        <f>SUM(I14:K14)</f>
        <v>0</v>
      </c>
      <c r="M14" s="753"/>
      <c r="N14" s="753"/>
      <c r="O14" s="749" t="e">
        <f>+L14/M14</f>
        <v>#DIV/0!</v>
      </c>
      <c r="P14" s="754">
        <f>+L14/E14*100-100</f>
        <v>-100</v>
      </c>
      <c r="Q14" s="755">
        <f>+M14/F14*100-100</f>
        <v>-100</v>
      </c>
      <c r="R14" s="756" t="e">
        <f>+O14/H14*100-100</f>
        <v>#DIV/0!</v>
      </c>
    </row>
    <row r="15" spans="1:20" s="741" customFormat="1" ht="43.5" x14ac:dyDescent="0.2">
      <c r="A15" s="742" t="s">
        <v>521</v>
      </c>
      <c r="B15" s="1398">
        <v>4215312.37657867</v>
      </c>
      <c r="C15" s="751">
        <v>342315.74576043407</v>
      </c>
      <c r="D15" s="751">
        <v>97585.254756278184</v>
      </c>
      <c r="E15" s="746">
        <f t="shared" si="0"/>
        <v>4655213.3770953827</v>
      </c>
      <c r="F15" s="1399">
        <v>1</v>
      </c>
      <c r="G15" s="1400" t="s">
        <v>1</v>
      </c>
      <c r="H15" s="749">
        <f t="shared" si="1"/>
        <v>4655213.3770953827</v>
      </c>
      <c r="I15" s="750">
        <f>+'ต.ที่ 4-จาก ต.5-61-กิจกรรมหลัก '!B12</f>
        <v>4565147.6462550946</v>
      </c>
      <c r="J15" s="751">
        <f>+'ต.ที่ 4-จาก ต.5-61-กิจกรรมหลัก '!C12</f>
        <v>323452.99376274052</v>
      </c>
      <c r="K15" s="752">
        <f>+'ต.ที่ 4-จาก ต.5-61-กิจกรรมหลัก '!D12</f>
        <v>158446.68369027693</v>
      </c>
      <c r="L15" s="746">
        <f t="shared" si="2"/>
        <v>5047047.3237081124</v>
      </c>
      <c r="M15" s="753">
        <f>+'ต.ที่ 4-จาก ต.5-61-กิจกรรมหลัก '!F12</f>
        <v>1</v>
      </c>
      <c r="N15" s="753" t="str">
        <f>+'ต.ที่ 4-จาก ต.5-61-กิจกรรมหลัก '!G12</f>
        <v>เรื่อง</v>
      </c>
      <c r="O15" s="749">
        <f t="shared" si="3"/>
        <v>5047047.3237081124</v>
      </c>
      <c r="P15" s="754">
        <f t="shared" si="4"/>
        <v>8.4170996015055835</v>
      </c>
      <c r="Q15" s="755">
        <f t="shared" si="5"/>
        <v>0</v>
      </c>
      <c r="R15" s="756">
        <f t="shared" si="6"/>
        <v>8.4170996015055835</v>
      </c>
    </row>
    <row r="16" spans="1:20" s="741" customFormat="1" ht="43.5" x14ac:dyDescent="0.2">
      <c r="A16" s="742" t="s">
        <v>522</v>
      </c>
      <c r="B16" s="1398">
        <v>1066968.0953185412</v>
      </c>
      <c r="C16" s="751">
        <v>86646.005473027573</v>
      </c>
      <c r="D16" s="751">
        <v>24700.507126589117</v>
      </c>
      <c r="E16" s="746">
        <f t="shared" si="0"/>
        <v>1178314.6079181577</v>
      </c>
      <c r="F16" s="1399">
        <v>1</v>
      </c>
      <c r="G16" s="1400" t="s">
        <v>1</v>
      </c>
      <c r="H16" s="749">
        <f t="shared" si="1"/>
        <v>1178314.6079181577</v>
      </c>
      <c r="I16" s="750">
        <f>+'ต.ที่ 4-จาก ต.5-61-กิจกรรมหลัก '!B13</f>
        <v>1155517.4216830228</v>
      </c>
      <c r="J16" s="751">
        <f>+'ต.ที่ 4-จาก ต.5-61-กิจกรรมหลัก '!C13</f>
        <v>81871.518371366983</v>
      </c>
      <c r="K16" s="752">
        <f>+'ต.ที่ 4-จาก ต.5-61-กิจกรรมหลัก '!D13</f>
        <v>40105.582031329439</v>
      </c>
      <c r="L16" s="746">
        <f t="shared" si="2"/>
        <v>1277494.522085719</v>
      </c>
      <c r="M16" s="753">
        <f>+'ต.ที่ 4-จาก ต.5-61-กิจกรรมหลัก '!F13</f>
        <v>1</v>
      </c>
      <c r="N16" s="753" t="str">
        <f>+'ต.ที่ 4-จาก ต.5-61-กิจกรรมหลัก '!G13</f>
        <v>เรื่อง</v>
      </c>
      <c r="O16" s="749">
        <f t="shared" si="3"/>
        <v>1277494.522085719</v>
      </c>
      <c r="P16" s="754">
        <f t="shared" si="4"/>
        <v>8.4170996015055835</v>
      </c>
      <c r="Q16" s="755">
        <f t="shared" si="5"/>
        <v>0</v>
      </c>
      <c r="R16" s="756">
        <f t="shared" si="6"/>
        <v>8.4170996015055835</v>
      </c>
    </row>
    <row r="17" spans="1:18" s="741" customFormat="1" ht="43.5" x14ac:dyDescent="0.2">
      <c r="A17" s="742" t="s">
        <v>523</v>
      </c>
      <c r="B17" s="1398">
        <v>1064176.1654007144</v>
      </c>
      <c r="C17" s="751">
        <v>86646.005473027573</v>
      </c>
      <c r="D17" s="751">
        <v>24700.507126589117</v>
      </c>
      <c r="E17" s="746">
        <f t="shared" si="0"/>
        <v>1175522.6780003309</v>
      </c>
      <c r="F17" s="1399">
        <v>1</v>
      </c>
      <c r="G17" s="1400" t="s">
        <v>1</v>
      </c>
      <c r="H17" s="749">
        <f t="shared" si="1"/>
        <v>1175522.6780003309</v>
      </c>
      <c r="I17" s="750">
        <f>+'ต.ที่ 4-จาก ต.5-61-กิจกรรมหลัก '!B14</f>
        <v>1155517.4216830228</v>
      </c>
      <c r="J17" s="751">
        <f>+'ต.ที่ 4-จาก ต.5-61-กิจกรรมหลัก '!C14</f>
        <v>81871.518371366983</v>
      </c>
      <c r="K17" s="752">
        <f>+'ต.ที่ 4-จาก ต.5-61-กิจกรรมหลัก '!D14</f>
        <v>40105.582031329439</v>
      </c>
      <c r="L17" s="746">
        <f t="shared" si="2"/>
        <v>1277494.522085719</v>
      </c>
      <c r="M17" s="1399">
        <f>+'ต.ที่ 4-จาก ต.5-61-กิจกรรมหลัก '!F14</f>
        <v>1</v>
      </c>
      <c r="N17" s="1399" t="str">
        <f>+'ต.ที่ 4-จาก ต.5-61-กิจกรรมหลัก '!G14</f>
        <v>เรื่อง</v>
      </c>
      <c r="O17" s="749">
        <f t="shared" si="3"/>
        <v>1277494.522085719</v>
      </c>
      <c r="P17" s="754">
        <f t="shared" si="4"/>
        <v>8.674596074901018</v>
      </c>
      <c r="Q17" s="755">
        <f t="shared" si="5"/>
        <v>0</v>
      </c>
      <c r="R17" s="756">
        <f t="shared" si="6"/>
        <v>8.674596074901018</v>
      </c>
    </row>
    <row r="18" spans="1:18" s="741" customFormat="1" x14ac:dyDescent="0.2">
      <c r="A18" s="742" t="s">
        <v>524</v>
      </c>
      <c r="B18" s="1398">
        <v>1250431.9066225942</v>
      </c>
      <c r="C18" s="751">
        <v>104622.85236346698</v>
      </c>
      <c r="D18" s="751">
        <v>27504.758371715154</v>
      </c>
      <c r="E18" s="746">
        <f t="shared" si="0"/>
        <v>1382559.5173577764</v>
      </c>
      <c r="F18" s="1399">
        <v>1</v>
      </c>
      <c r="G18" s="1400" t="s">
        <v>1</v>
      </c>
      <c r="H18" s="749">
        <f t="shared" si="1"/>
        <v>1382559.5173577764</v>
      </c>
      <c r="I18" s="750">
        <f>+'ต.ที่ 4-จาก ต.5-61-กิจกรรมหลัก '!B16</f>
        <v>1204402.0627873302</v>
      </c>
      <c r="J18" s="751">
        <f>+'ต.ที่ 4-จาก ต.5-61-กิจกรรมหลัก '!C16</f>
        <v>97654.729716554109</v>
      </c>
      <c r="K18" s="752">
        <f>+'ต.ที่ 4-จาก ต.5-61-กิจกรรมหลัก '!D16</f>
        <v>38852.738071221451</v>
      </c>
      <c r="L18" s="746">
        <f t="shared" si="2"/>
        <v>1340909.5305751057</v>
      </c>
      <c r="M18" s="1401">
        <f>+'ต.ที่ 4-จาก ต.5-61-กิจกรรมหลัก '!F16</f>
        <v>1</v>
      </c>
      <c r="N18" s="1401" t="str">
        <f>+'ต.ที่ 4-จาก ต.5-61-กิจกรรมหลัก '!G16</f>
        <v>เรื่อง</v>
      </c>
      <c r="O18" s="749">
        <f t="shared" si="3"/>
        <v>1340909.5305751057</v>
      </c>
      <c r="P18" s="754">
        <f t="shared" si="4"/>
        <v>-3.0125275808934759</v>
      </c>
      <c r="Q18" s="755">
        <f t="shared" si="5"/>
        <v>0</v>
      </c>
      <c r="R18" s="756">
        <f t="shared" si="6"/>
        <v>-3.0125275808934759</v>
      </c>
    </row>
    <row r="19" spans="1:18" s="741" customFormat="1" ht="130.5" x14ac:dyDescent="0.2">
      <c r="A19" s="742" t="s">
        <v>582</v>
      </c>
      <c r="B19" s="1398">
        <v>53316305.981459998</v>
      </c>
      <c r="C19" s="751">
        <v>3939780.5634807907</v>
      </c>
      <c r="D19" s="751">
        <v>1173257.9991774287</v>
      </c>
      <c r="E19" s="746">
        <f t="shared" si="0"/>
        <v>58429344.544118211</v>
      </c>
      <c r="F19" s="1399">
        <v>27</v>
      </c>
      <c r="G19" s="1400" t="s">
        <v>7</v>
      </c>
      <c r="H19" s="749">
        <f t="shared" si="1"/>
        <v>2164049.797930304</v>
      </c>
      <c r="I19" s="750">
        <f>+'ต.ที่ 4-จาก ต.5-61-กิจกรรมหลัก '!B17</f>
        <v>52860902.620575279</v>
      </c>
      <c r="J19" s="751">
        <f>+'ต.ที่ 4-จาก ต.5-61-กิจกรรมหลัก '!C17</f>
        <v>3833345.7644845448</v>
      </c>
      <c r="K19" s="752">
        <f>+'ต.ที่ 4-จาก ต.5-61-กิจกรรมหลัก '!D17</f>
        <v>1404801.972948499</v>
      </c>
      <c r="L19" s="746">
        <f t="shared" si="2"/>
        <v>58099050.358008325</v>
      </c>
      <c r="M19" s="1402">
        <f>+'ต.ที่ 4-จาก ต.5-61-กิจกรรมหลัก '!F17</f>
        <v>28</v>
      </c>
      <c r="N19" s="1402" t="str">
        <f>+'ต.ที่ 4-จาก ต.5-61-กิจกรรมหลัก '!G17</f>
        <v>สินค้า</v>
      </c>
      <c r="O19" s="749">
        <f t="shared" si="3"/>
        <v>2074966.084214583</v>
      </c>
      <c r="P19" s="754">
        <f>+L19/E19*100-100</f>
        <v>-0.56528819326476309</v>
      </c>
      <c r="Q19" s="755">
        <f>+M19/F19*100-100</f>
        <v>3.7037037037036953</v>
      </c>
      <c r="R19" s="756">
        <f>+O19/H19*100-100</f>
        <v>-4.1165279006481512</v>
      </c>
    </row>
    <row r="20" spans="1:18" s="741" customFormat="1" ht="47.25" customHeight="1" x14ac:dyDescent="0.2">
      <c r="A20" s="1403" t="s">
        <v>525</v>
      </c>
      <c r="B20" s="1404">
        <v>0</v>
      </c>
      <c r="C20" s="1405"/>
      <c r="D20" s="1405"/>
      <c r="E20" s="1406"/>
      <c r="F20" s="1407"/>
      <c r="G20" s="1407"/>
      <c r="H20" s="1408"/>
      <c r="I20" s="1409">
        <f>+'ต.ที่ 4-จาก ต.5-61-กิจกรรมหลัก '!B18</f>
        <v>13038658.116906453</v>
      </c>
      <c r="J20" s="1405">
        <f>+'ต.ที่ 4-จาก ต.5-61-กิจกรรมหลัก '!C18</f>
        <v>706955.77346015978</v>
      </c>
      <c r="K20" s="1410">
        <f>+'ต.ที่ 4-จาก ต.5-61-กิจกรรมหลัก '!D18</f>
        <v>3133966.6846918589</v>
      </c>
      <c r="L20" s="746">
        <f t="shared" si="2"/>
        <v>16879580.575058471</v>
      </c>
      <c r="M20" s="1411">
        <v>15</v>
      </c>
      <c r="N20" s="1411" t="s">
        <v>7</v>
      </c>
      <c r="O20" s="749">
        <f t="shared" si="3"/>
        <v>1125305.3716705649</v>
      </c>
      <c r="P20" s="1412" t="e">
        <f>+L20/E20*100-100</f>
        <v>#DIV/0!</v>
      </c>
      <c r="Q20" s="1413" t="e">
        <f>+M20/F20*100-100</f>
        <v>#DIV/0!</v>
      </c>
      <c r="R20" s="1414" t="e">
        <f>+O20/H20*100-100</f>
        <v>#DIV/0!</v>
      </c>
    </row>
    <row r="21" spans="1:18" s="1425" customFormat="1" ht="22.5" thickBot="1" x14ac:dyDescent="0.55000000000000004">
      <c r="A21" s="1415" t="s">
        <v>125</v>
      </c>
      <c r="B21" s="1416">
        <f>SUM(B5:B20)</f>
        <v>556049237.13088346</v>
      </c>
      <c r="C21" s="1417">
        <f>SUM(C5:C20)</f>
        <v>40958414.041937321</v>
      </c>
      <c r="D21" s="1417">
        <f>SUM(D5:D20)</f>
        <v>42438557.740000017</v>
      </c>
      <c r="E21" s="1417">
        <f>SUM(E5:E20)</f>
        <v>639446208.91282046</v>
      </c>
      <c r="F21" s="1341"/>
      <c r="G21" s="1418"/>
      <c r="H21" s="1419"/>
      <c r="I21" s="1420">
        <f>SUM(I5:I20)</f>
        <v>577020617.50999987</v>
      </c>
      <c r="J21" s="1417">
        <f>SUM(J5:J20)</f>
        <v>41360637.719999999</v>
      </c>
      <c r="K21" s="1421">
        <f>SUM(K5:K20)</f>
        <v>43873491.260000028</v>
      </c>
      <c r="L21" s="1417">
        <f>SUM(L5:L20)</f>
        <v>662254746.48999977</v>
      </c>
      <c r="M21" s="1341"/>
      <c r="N21" s="1418"/>
      <c r="O21" s="1419"/>
      <c r="P21" s="1422"/>
      <c r="Q21" s="1423"/>
      <c r="R21" s="1424"/>
    </row>
    <row r="22" spans="1:18" ht="22.5" thickTop="1" x14ac:dyDescent="0.5">
      <c r="B22" s="1380">
        <v>556040229.71000016</v>
      </c>
      <c r="C22" s="1380">
        <v>40958414.041937321</v>
      </c>
      <c r="D22" s="1380">
        <v>42438557.740000017</v>
      </c>
      <c r="E22" s="1380">
        <v>639437201.49193752</v>
      </c>
      <c r="I22" s="1380">
        <f>+'ต.ที่ 4-จาก ต.5-61-กิจกรรมหลัก '!B20</f>
        <v>577020617.50999987</v>
      </c>
      <c r="J22" s="1380">
        <f>+'ต.ที่ 4-จาก ต.5-61-กิจกรรมหลัก '!C20</f>
        <v>41360637.719999999</v>
      </c>
      <c r="K22" s="1380">
        <f>+'ต.ที่ 4-จาก ต.5-61-กิจกรรมหลัก '!D20</f>
        <v>43873491.260000028</v>
      </c>
      <c r="L22" s="1380">
        <f>+'ต.ที่ 4-จาก ต.5-61-กิจกรรมหลัก '!E20</f>
        <v>662254746.48999977</v>
      </c>
    </row>
    <row r="23" spans="1:18" x14ac:dyDescent="0.5">
      <c r="B23" s="1380">
        <f>+B21-B22</f>
        <v>9007.4208832979202</v>
      </c>
      <c r="C23" s="1380">
        <f>+C21-C22</f>
        <v>0</v>
      </c>
      <c r="D23" s="1380">
        <f>+D21-D22</f>
        <v>0</v>
      </c>
      <c r="E23" s="1380">
        <f>+E21-E22</f>
        <v>9007.4208829402924</v>
      </c>
      <c r="L23" s="1380" t="s">
        <v>184</v>
      </c>
      <c r="M23" s="1536">
        <v>643136559.86000001</v>
      </c>
      <c r="N23" s="1536"/>
      <c r="O23" s="1380">
        <f>+L21-M23</f>
        <v>19118186.629999757</v>
      </c>
    </row>
    <row r="24" spans="1:18" x14ac:dyDescent="0.5">
      <c r="I24" s="1380">
        <f>+I21-I22</f>
        <v>0</v>
      </c>
      <c r="J24" s="1380">
        <f>+J21-J22</f>
        <v>0</v>
      </c>
      <c r="K24" s="1380">
        <f>+K21-K22</f>
        <v>0</v>
      </c>
      <c r="L24" s="1380">
        <f>+L21-L22</f>
        <v>0</v>
      </c>
    </row>
    <row r="25" spans="1:18" x14ac:dyDescent="0.5">
      <c r="E25" s="1380">
        <f>+E6+E19</f>
        <v>88873725.260165989</v>
      </c>
    </row>
  </sheetData>
  <mergeCells count="6">
    <mergeCell ref="M23:N23"/>
    <mergeCell ref="A1:T1"/>
    <mergeCell ref="A3:A4"/>
    <mergeCell ref="B3:H3"/>
    <mergeCell ref="I3:O3"/>
    <mergeCell ref="P3:R3"/>
  </mergeCells>
  <phoneticPr fontId="4" type="noConversion"/>
  <pageMargins left="0.74803149606299213" right="0" top="0.59055118110236227" bottom="0.19685039370078741" header="0" footer="0"/>
  <pageSetup paperSize="9" scale="5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D18"/>
  <sheetViews>
    <sheetView view="pageBreakPreview" zoomScaleNormal="100" zoomScaleSheetLayoutView="100" workbookViewId="0">
      <selection activeCell="C5" sqref="C5"/>
    </sheetView>
  </sheetViews>
  <sheetFormatPr defaultRowHeight="21.75" x14ac:dyDescent="0.5"/>
  <cols>
    <col min="1" max="1" width="5.140625" style="1" customWidth="1"/>
    <col min="2" max="2" width="59.28515625" style="1" customWidth="1"/>
    <col min="3" max="3" width="77.140625" style="1" customWidth="1"/>
    <col min="4" max="16384" width="9.140625" style="1"/>
  </cols>
  <sheetData>
    <row r="1" spans="1:4" s="71" customFormat="1" ht="23.25" x14ac:dyDescent="0.55000000000000004">
      <c r="A1" s="71" t="s">
        <v>126</v>
      </c>
    </row>
    <row r="2" spans="1:4" s="71" customFormat="1" ht="24" thickBot="1" x14ac:dyDescent="0.6">
      <c r="B2" s="71" t="s">
        <v>128</v>
      </c>
    </row>
    <row r="3" spans="1:4" s="7" customFormat="1" ht="22.5" thickBot="1" x14ac:dyDescent="0.25">
      <c r="A3" s="1543" t="s">
        <v>60</v>
      </c>
      <c r="B3" s="1544"/>
      <c r="C3" s="125" t="s">
        <v>59</v>
      </c>
    </row>
    <row r="4" spans="1:4" x14ac:dyDescent="0.5">
      <c r="A4" s="458"/>
      <c r="B4" s="459"/>
      <c r="C4" s="460"/>
      <c r="D4" s="7"/>
    </row>
    <row r="5" spans="1:4" x14ac:dyDescent="0.5">
      <c r="A5" s="461"/>
      <c r="B5" s="462"/>
      <c r="C5" s="672"/>
      <c r="D5" s="7"/>
    </row>
    <row r="6" spans="1:4" x14ac:dyDescent="0.5">
      <c r="A6" s="159"/>
      <c r="B6" s="463"/>
      <c r="C6" s="77"/>
      <c r="D6" s="7"/>
    </row>
    <row r="7" spans="1:4" ht="22.5" thickBot="1" x14ac:dyDescent="0.55000000000000004">
      <c r="A7" s="478"/>
      <c r="B7" s="479"/>
      <c r="C7" s="328"/>
      <c r="D7" s="7"/>
    </row>
    <row r="8" spans="1:4" x14ac:dyDescent="0.5">
      <c r="A8" s="228"/>
      <c r="B8" s="229"/>
      <c r="C8" s="230"/>
      <c r="D8" s="7"/>
    </row>
    <row r="9" spans="1:4" x14ac:dyDescent="0.5">
      <c r="A9" s="228"/>
      <c r="B9" s="229"/>
      <c r="C9" s="230"/>
      <c r="D9" s="7"/>
    </row>
    <row r="10" spans="1:4" x14ac:dyDescent="0.5">
      <c r="A10" s="228"/>
      <c r="B10" s="229"/>
      <c r="C10" s="230"/>
      <c r="D10" s="7"/>
    </row>
    <row r="11" spans="1:4" x14ac:dyDescent="0.5">
      <c r="A11" s="228"/>
      <c r="B11" s="229"/>
      <c r="C11" s="230"/>
      <c r="D11" s="7"/>
    </row>
    <row r="12" spans="1:4" x14ac:dyDescent="0.5">
      <c r="A12" s="228"/>
      <c r="B12" s="229"/>
      <c r="C12" s="230"/>
      <c r="D12" s="7"/>
    </row>
    <row r="13" spans="1:4" x14ac:dyDescent="0.5">
      <c r="A13" s="228"/>
      <c r="B13" s="229"/>
      <c r="C13" s="230"/>
      <c r="D13" s="7"/>
    </row>
    <row r="14" spans="1:4" x14ac:dyDescent="0.5">
      <c r="A14" s="228"/>
      <c r="B14" s="229"/>
      <c r="C14" s="230"/>
      <c r="D14" s="7"/>
    </row>
    <row r="15" spans="1:4" x14ac:dyDescent="0.5">
      <c r="A15" s="228"/>
      <c r="B15" s="229"/>
      <c r="C15" s="230"/>
      <c r="D15" s="7"/>
    </row>
    <row r="16" spans="1:4" x14ac:dyDescent="0.5">
      <c r="A16" s="228"/>
      <c r="B16" s="229"/>
      <c r="C16" s="230"/>
      <c r="D16" s="7"/>
    </row>
    <row r="17" spans="1:4" x14ac:dyDescent="0.5">
      <c r="A17" s="228"/>
      <c r="B17" s="229"/>
      <c r="C17" s="230"/>
      <c r="D17" s="7"/>
    </row>
    <row r="18" spans="1:4" ht="22.5" customHeight="1" thickBot="1" x14ac:dyDescent="0.55000000000000004">
      <c r="A18" s="231"/>
      <c r="B18" s="232"/>
      <c r="C18" s="233"/>
    </row>
  </sheetData>
  <mergeCells count="1">
    <mergeCell ref="A3:B3"/>
  </mergeCells>
  <phoneticPr fontId="4" type="noConversion"/>
  <printOptions horizontalCentered="1"/>
  <pageMargins left="0.35433070866141736" right="0" top="0.59055118110236227" bottom="0.19685039370078741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Z196"/>
  <sheetViews>
    <sheetView view="pageBreakPreview" zoomScale="80" zoomScaleNormal="100" zoomScaleSheetLayoutView="80" workbookViewId="0">
      <pane xSplit="2" ySplit="4" topLeftCell="H47" activePane="bottomRight" state="frozen"/>
      <selection activeCell="E30" sqref="E30"/>
      <selection pane="topRight" activeCell="E30" sqref="E30"/>
      <selection pane="bottomLeft" activeCell="E30" sqref="E30"/>
      <selection pane="bottomRight" sqref="A1:XFD1048576"/>
    </sheetView>
  </sheetViews>
  <sheetFormatPr defaultRowHeight="21.75" x14ac:dyDescent="0.5"/>
  <cols>
    <col min="1" max="1" width="2.85546875" style="144" customWidth="1"/>
    <col min="2" max="2" width="21.7109375" style="144" customWidth="1"/>
    <col min="3" max="3" width="16" style="144" customWidth="1"/>
    <col min="4" max="4" width="14.85546875" style="144" customWidth="1"/>
    <col min="5" max="5" width="15" style="144" customWidth="1"/>
    <col min="6" max="6" width="16.140625" style="144" customWidth="1"/>
    <col min="7" max="7" width="5.140625" style="222" customWidth="1"/>
    <col min="8" max="8" width="7.7109375" style="220" customWidth="1"/>
    <col min="9" max="9" width="15.42578125" style="144" customWidth="1"/>
    <col min="10" max="10" width="3.140625" style="144" customWidth="1"/>
    <col min="11" max="11" width="27.5703125" style="144" bestFit="1" customWidth="1"/>
    <col min="12" max="12" width="16.140625" style="144" customWidth="1"/>
    <col min="13" max="13" width="14.7109375" style="144" customWidth="1"/>
    <col min="14" max="14" width="14.85546875" style="144" customWidth="1"/>
    <col min="15" max="15" width="16.28515625" style="144" customWidth="1"/>
    <col min="16" max="16" width="10.5703125" style="144" bestFit="1" customWidth="1"/>
    <col min="17" max="17" width="7.28515625" style="222" bestFit="1" customWidth="1"/>
    <col min="18" max="18" width="14.85546875" style="223" customWidth="1"/>
    <col min="19" max="19" width="9" style="144" customWidth="1"/>
    <col min="20" max="20" width="10" style="144" customWidth="1"/>
    <col min="21" max="21" width="9" style="144" customWidth="1"/>
    <col min="22" max="22" width="7.7109375" style="144" customWidth="1"/>
    <col min="23" max="23" width="11.28515625" style="144" bestFit="1" customWidth="1"/>
    <col min="24" max="16384" width="9.140625" style="144"/>
  </cols>
  <sheetData>
    <row r="1" spans="1:26" s="138" customFormat="1" ht="24" x14ac:dyDescent="0.55000000000000004">
      <c r="A1" s="1552" t="s">
        <v>391</v>
      </c>
      <c r="B1" s="1552"/>
      <c r="C1" s="1552"/>
      <c r="D1" s="1552"/>
      <c r="E1" s="1552"/>
      <c r="F1" s="1552"/>
      <c r="G1" s="1552"/>
      <c r="H1" s="1552"/>
      <c r="I1" s="1552"/>
      <c r="J1" s="1552"/>
      <c r="K1" s="1552"/>
      <c r="L1" s="1552"/>
      <c r="M1" s="1552"/>
      <c r="N1" s="1552"/>
      <c r="O1" s="1552"/>
      <c r="P1" s="1552"/>
      <c r="Q1" s="1552"/>
      <c r="R1" s="1552"/>
      <c r="S1" s="1552"/>
      <c r="T1" s="1552"/>
      <c r="U1" s="1552"/>
      <c r="V1" s="1552"/>
    </row>
    <row r="2" spans="1:26" s="138" customFormat="1" ht="24.75" thickBot="1" x14ac:dyDescent="0.6">
      <c r="A2" s="139" t="s">
        <v>396</v>
      </c>
      <c r="B2" s="139"/>
      <c r="G2" s="140"/>
      <c r="H2" s="141"/>
      <c r="Q2" s="140"/>
      <c r="R2" s="142"/>
      <c r="T2" s="113" t="s">
        <v>195</v>
      </c>
    </row>
    <row r="3" spans="1:26" ht="21" customHeight="1" x14ac:dyDescent="0.5">
      <c r="A3" s="1548" t="s">
        <v>329</v>
      </c>
      <c r="B3" s="1549"/>
      <c r="C3" s="1545" t="s">
        <v>326</v>
      </c>
      <c r="D3" s="1546"/>
      <c r="E3" s="1546"/>
      <c r="F3" s="1546"/>
      <c r="G3" s="1546"/>
      <c r="H3" s="1546"/>
      <c r="I3" s="1547"/>
      <c r="J3" s="1548" t="s">
        <v>397</v>
      </c>
      <c r="K3" s="1549"/>
      <c r="L3" s="1545" t="s">
        <v>392</v>
      </c>
      <c r="M3" s="1546"/>
      <c r="N3" s="1546"/>
      <c r="O3" s="1546"/>
      <c r="P3" s="1546"/>
      <c r="Q3" s="1546"/>
      <c r="R3" s="1547"/>
      <c r="S3" s="1553" t="s">
        <v>120</v>
      </c>
      <c r="T3" s="1554"/>
      <c r="U3" s="1555"/>
      <c r="V3" s="143"/>
    </row>
    <row r="4" spans="1:26" ht="87.75" thickBot="1" x14ac:dyDescent="0.55000000000000004">
      <c r="A4" s="1550"/>
      <c r="B4" s="1551"/>
      <c r="C4" s="145" t="s">
        <v>67</v>
      </c>
      <c r="D4" s="145" t="s">
        <v>69</v>
      </c>
      <c r="E4" s="145" t="s">
        <v>77</v>
      </c>
      <c r="F4" s="145" t="s">
        <v>78</v>
      </c>
      <c r="G4" s="688" t="s">
        <v>83</v>
      </c>
      <c r="H4" s="145" t="s">
        <v>81</v>
      </c>
      <c r="I4" s="149" t="s">
        <v>88</v>
      </c>
      <c r="J4" s="1550"/>
      <c r="K4" s="1551"/>
      <c r="L4" s="145" t="s">
        <v>67</v>
      </c>
      <c r="M4" s="145" t="s">
        <v>69</v>
      </c>
      <c r="N4" s="145" t="s">
        <v>77</v>
      </c>
      <c r="O4" s="145" t="s">
        <v>78</v>
      </c>
      <c r="P4" s="146" t="s">
        <v>83</v>
      </c>
      <c r="Q4" s="145" t="s">
        <v>81</v>
      </c>
      <c r="R4" s="147" t="s">
        <v>88</v>
      </c>
      <c r="S4" s="148" t="s">
        <v>121</v>
      </c>
      <c r="T4" s="145" t="s">
        <v>122</v>
      </c>
      <c r="U4" s="149" t="s">
        <v>123</v>
      </c>
      <c r="Y4" s="144" t="s">
        <v>83</v>
      </c>
      <c r="Z4" s="144" t="s">
        <v>81</v>
      </c>
    </row>
    <row r="5" spans="1:26" s="113" customFormat="1" x14ac:dyDescent="0.2">
      <c r="A5" s="150" t="s">
        <v>239</v>
      </c>
      <c r="B5" s="151"/>
      <c r="C5" s="151">
        <f>SUM(C6:C16)</f>
        <v>61902569.634781882</v>
      </c>
      <c r="D5" s="151">
        <f>SUM(D6:D16)</f>
        <v>5179349.1269043051</v>
      </c>
      <c r="E5" s="151">
        <f>SUM(E6:E16)</f>
        <v>1361621.7015700573</v>
      </c>
      <c r="F5" s="151">
        <f>SUM(F6:F16)</f>
        <v>68443540.463256255</v>
      </c>
      <c r="G5" s="151"/>
      <c r="H5" s="153"/>
      <c r="I5" s="154"/>
      <c r="J5" s="150" t="s">
        <v>239</v>
      </c>
      <c r="K5" s="151"/>
      <c r="L5" s="151">
        <f>SUM(L6:L16)</f>
        <v>59623864.494422302</v>
      </c>
      <c r="M5" s="151">
        <f>SUM(M6:M16)</f>
        <v>4834392.5602254514</v>
      </c>
      <c r="N5" s="151">
        <f>SUM(N6:N16)</f>
        <v>1923402.8748129427</v>
      </c>
      <c r="O5" s="151">
        <f>SUM(L5:N5)</f>
        <v>66381659.929460697</v>
      </c>
      <c r="P5" s="152"/>
      <c r="Q5" s="153"/>
      <c r="R5" s="154"/>
      <c r="S5" s="155"/>
      <c r="T5" s="156"/>
      <c r="U5" s="157"/>
    </row>
    <row r="6" spans="1:26" s="108" customFormat="1" ht="87" x14ac:dyDescent="0.2">
      <c r="A6" s="571">
        <v>1</v>
      </c>
      <c r="B6" s="572" t="s">
        <v>336</v>
      </c>
      <c r="C6" s="573">
        <v>10090118.850469448</v>
      </c>
      <c r="D6" s="573">
        <v>844233.90768540185</v>
      </c>
      <c r="E6" s="573">
        <v>221944.33735591936</v>
      </c>
      <c r="F6" s="574">
        <f>SUM(C6:E6)</f>
        <v>11156297.09551077</v>
      </c>
      <c r="G6" s="575">
        <v>1</v>
      </c>
      <c r="H6" s="689" t="s">
        <v>1</v>
      </c>
      <c r="I6" s="576">
        <f>+F6/G6</f>
        <v>11156297.09551077</v>
      </c>
      <c r="J6" s="571">
        <v>1</v>
      </c>
      <c r="K6" s="572" t="s">
        <v>336</v>
      </c>
      <c r="L6" s="573">
        <f>+'ต.5 ถั่ว-สนับสนุนให้ กก หลัก-61'!C5</f>
        <v>11447781.982929079</v>
      </c>
      <c r="M6" s="573">
        <f>+'ต.5 ถั่ว-สนับสนุนให้ กก หลัก-61'!D5</f>
        <v>928203.37156328652</v>
      </c>
      <c r="N6" s="573">
        <f>+'ต.5 ถั่ว-สนับสนุนให้ กก หลัก-61'!E5</f>
        <v>369293.35196408507</v>
      </c>
      <c r="O6" s="574">
        <f t="shared" ref="O6:O52" si="0">SUM(L6:N6)</f>
        <v>12745278.706456451</v>
      </c>
      <c r="P6" s="575">
        <f>+'ต.5 ถั่ว-สนับสนุนให้ กก หลัก-61'!G5</f>
        <v>1</v>
      </c>
      <c r="Q6" s="575" t="str">
        <f>+'ต.5 ถั่ว-สนับสนุนให้ กก หลัก-61'!H5</f>
        <v>เรื่อง</v>
      </c>
      <c r="R6" s="576">
        <f>+O6/P6</f>
        <v>12745278.706456451</v>
      </c>
      <c r="S6" s="577">
        <f>+O6/F6*100-100</f>
        <v>14.24291229735249</v>
      </c>
      <c r="T6" s="578">
        <f>+P6/G6*100-100</f>
        <v>0</v>
      </c>
      <c r="U6" s="158">
        <f>+R6/I6*100-100</f>
        <v>14.24291229735249</v>
      </c>
      <c r="Y6" s="108">
        <v>1</v>
      </c>
      <c r="Z6" s="108" t="s">
        <v>1</v>
      </c>
    </row>
    <row r="7" spans="1:26" s="108" customFormat="1" ht="43.5" x14ac:dyDescent="0.2">
      <c r="A7" s="159">
        <v>2</v>
      </c>
      <c r="B7" s="129" t="s">
        <v>55</v>
      </c>
      <c r="C7" s="106">
        <v>9737274.2035511918</v>
      </c>
      <c r="D7" s="106">
        <v>814711.61766204715</v>
      </c>
      <c r="E7" s="106">
        <v>214183.09365697004</v>
      </c>
      <c r="F7" s="160">
        <f t="shared" ref="F7:F16" si="1">SUM(C7:E7)</f>
        <v>10766168.91487021</v>
      </c>
      <c r="G7" s="161">
        <v>4</v>
      </c>
      <c r="H7" s="162" t="s">
        <v>28</v>
      </c>
      <c r="I7" s="163">
        <f t="shared" ref="I7:I16" si="2">+F7/G7</f>
        <v>2691542.2287175525</v>
      </c>
      <c r="J7" s="159">
        <v>2</v>
      </c>
      <c r="K7" s="129" t="s">
        <v>55</v>
      </c>
      <c r="L7" s="106">
        <f>+'ต.5 ถั่ว-สนับสนุนให้ กก หลัก-61'!C6</f>
        <v>9378833.8849726263</v>
      </c>
      <c r="M7" s="106">
        <f>+'ต.5 ถั่ว-สนับสนุนให้ กก หลัก-61'!D6</f>
        <v>760449.94972346351</v>
      </c>
      <c r="N7" s="106">
        <f>+'ต.5 ถั่ว-สนับสนุนให้ กก หลัก-61'!E6</f>
        <v>302551.27220807597</v>
      </c>
      <c r="O7" s="160">
        <f t="shared" si="0"/>
        <v>10441835.106904166</v>
      </c>
      <c r="P7" s="161">
        <f>+'ต.5 ถั่ว-สนับสนุนให้ กก หลัก-61'!G6</f>
        <v>4</v>
      </c>
      <c r="Q7" s="161" t="str">
        <f>+'ต.5 ถั่ว-สนับสนุนให้ กก หลัก-61'!H6</f>
        <v>ครั้ง</v>
      </c>
      <c r="R7" s="163">
        <f t="shared" ref="R7:R16" si="3">+O7/P7</f>
        <v>2610458.7767260415</v>
      </c>
      <c r="S7" s="164">
        <f t="shared" ref="S7:S16" si="4">+O7/F7*100-100</f>
        <v>-3.0125275808934617</v>
      </c>
      <c r="T7" s="165">
        <f t="shared" ref="T7:T16" si="5">+P7/G7*100-100</f>
        <v>0</v>
      </c>
      <c r="U7" s="166">
        <f t="shared" ref="U7:U16" si="6">+R7/I7*100-100</f>
        <v>-3.0125275808934617</v>
      </c>
      <c r="Y7" s="108">
        <v>4</v>
      </c>
      <c r="Z7" s="108" t="s">
        <v>28</v>
      </c>
    </row>
    <row r="8" spans="1:26" s="108" customFormat="1" ht="43.5" x14ac:dyDescent="0.2">
      <c r="A8" s="159">
        <v>3</v>
      </c>
      <c r="B8" s="129" t="s">
        <v>169</v>
      </c>
      <c r="C8" s="106">
        <v>15277554.185864169</v>
      </c>
      <c r="D8" s="106">
        <v>1278263.3645199826</v>
      </c>
      <c r="E8" s="106">
        <v>336048.23594749015</v>
      </c>
      <c r="F8" s="160">
        <f t="shared" si="1"/>
        <v>16891865.786331642</v>
      </c>
      <c r="G8" s="161">
        <v>25</v>
      </c>
      <c r="H8" s="162" t="s">
        <v>1</v>
      </c>
      <c r="I8" s="163">
        <f t="shared" si="2"/>
        <v>675674.63145326567</v>
      </c>
      <c r="J8" s="159">
        <v>3</v>
      </c>
      <c r="K8" s="129" t="s">
        <v>169</v>
      </c>
      <c r="L8" s="106">
        <f>+'ต.5 ถั่ว-สนับสนุนให้ กก หลัก-61'!C7</f>
        <v>12926453.822390754</v>
      </c>
      <c r="M8" s="106">
        <f>+'ต.5 ถั่ว-สนับสนุนให้ กก หลัก-61'!D7</f>
        <v>1048096.3070568778</v>
      </c>
      <c r="N8" s="106">
        <f>+'ต.5 ถั่ว-สนับสนุนให้ กก หลัก-61'!E7</f>
        <v>416993.743259446</v>
      </c>
      <c r="O8" s="160">
        <f t="shared" si="0"/>
        <v>14391543.872707078</v>
      </c>
      <c r="P8" s="161">
        <f>+'ต.5 ถั่ว-สนับสนุนให้ กก หลัก-61'!G7</f>
        <v>18</v>
      </c>
      <c r="Q8" s="161" t="str">
        <f>+'ต.5 ถั่ว-สนับสนุนให้ กก หลัก-61'!H7</f>
        <v>เรื่อง</v>
      </c>
      <c r="R8" s="163">
        <f t="shared" si="3"/>
        <v>799530.2151503932</v>
      </c>
      <c r="S8" s="164">
        <f t="shared" si="4"/>
        <v>-14.801928604285649</v>
      </c>
      <c r="T8" s="165">
        <f t="shared" si="5"/>
        <v>-28</v>
      </c>
      <c r="U8" s="166">
        <f t="shared" si="6"/>
        <v>18.330654716269933</v>
      </c>
      <c r="Y8" s="108">
        <v>25</v>
      </c>
      <c r="Z8" s="108" t="s">
        <v>1</v>
      </c>
    </row>
    <row r="9" spans="1:26" s="108" customFormat="1" ht="43.5" x14ac:dyDescent="0.2">
      <c r="A9" s="128">
        <v>4</v>
      </c>
      <c r="B9" s="129" t="s">
        <v>33</v>
      </c>
      <c r="C9" s="106">
        <v>6809282.6598260067</v>
      </c>
      <c r="D9" s="106">
        <v>569728.4039594736</v>
      </c>
      <c r="E9" s="106">
        <v>149778.38717270631</v>
      </c>
      <c r="F9" s="160">
        <f t="shared" si="1"/>
        <v>7528789.4509581868</v>
      </c>
      <c r="G9" s="161">
        <v>27</v>
      </c>
      <c r="H9" s="162" t="s">
        <v>29</v>
      </c>
      <c r="I9" s="163">
        <f t="shared" si="2"/>
        <v>278844.05373919208</v>
      </c>
      <c r="J9" s="128">
        <v>4</v>
      </c>
      <c r="K9" s="129" t="s">
        <v>33</v>
      </c>
      <c r="L9" s="106">
        <f>+'ต.5 ถั่ว-สนับสนุนให้ กก หลัก-61'!C8</f>
        <v>6558625.0943864519</v>
      </c>
      <c r="M9" s="106">
        <f>+'ต.5 ถั่ว-สนับสนุนให้ กก หลัก-61'!D8</f>
        <v>531783.18162479962</v>
      </c>
      <c r="N9" s="106">
        <f>+'ต.5 ถั่ว-สนับสนุนให้ กก หลัก-61'!E8</f>
        <v>211574.31622942371</v>
      </c>
      <c r="O9" s="160">
        <f t="shared" si="0"/>
        <v>7301982.5922406754</v>
      </c>
      <c r="P9" s="161">
        <f>+'ต.5 ถั่ว-สนับสนุนให้ กก หลัก-61'!G8</f>
        <v>26</v>
      </c>
      <c r="Q9" s="161" t="str">
        <f>+'ต.5 ถั่ว-สนับสนุนให้ กก หลัก-61'!H8</f>
        <v>หน่วยงาน</v>
      </c>
      <c r="R9" s="163">
        <f t="shared" si="3"/>
        <v>280845.48431694903</v>
      </c>
      <c r="S9" s="164">
        <f t="shared" si="4"/>
        <v>-3.0125275808934475</v>
      </c>
      <c r="T9" s="165">
        <f t="shared" si="5"/>
        <v>-3.7037037037037095</v>
      </c>
      <c r="U9" s="166">
        <f t="shared" si="6"/>
        <v>0.717759819841433</v>
      </c>
      <c r="Y9" s="108">
        <v>27</v>
      </c>
      <c r="Z9" s="108" t="s">
        <v>29</v>
      </c>
    </row>
    <row r="10" spans="1:26" s="108" customFormat="1" ht="43.5" x14ac:dyDescent="0.2">
      <c r="A10" s="128">
        <v>5</v>
      </c>
      <c r="B10" s="129" t="s">
        <v>32</v>
      </c>
      <c r="C10" s="106">
        <v>1857077.0890434566</v>
      </c>
      <c r="D10" s="106">
        <v>155380.47380712916</v>
      </c>
      <c r="E10" s="106">
        <v>40848.651047101725</v>
      </c>
      <c r="F10" s="160">
        <f t="shared" si="1"/>
        <v>2053306.2138976874</v>
      </c>
      <c r="G10" s="161">
        <v>10</v>
      </c>
      <c r="H10" s="162" t="s">
        <v>28</v>
      </c>
      <c r="I10" s="163">
        <f t="shared" si="2"/>
        <v>205330.62138976873</v>
      </c>
      <c r="J10" s="128">
        <v>5</v>
      </c>
      <c r="K10" s="129" t="s">
        <v>32</v>
      </c>
      <c r="L10" s="106">
        <f>+'ต.5 ถั่ว-สนับสนุนให้ กก หลัก-61'!C9</f>
        <v>1788715.9348326689</v>
      </c>
      <c r="M10" s="106">
        <f>+'ต.5 ถั่ว-สนับสนุนให้ กก หลัก-61'!D9</f>
        <v>145031.77680676352</v>
      </c>
      <c r="N10" s="106">
        <f>+'ต.5 ถั่ว-สนับสนุนให้ กก หลัก-61'!E9</f>
        <v>57702.086244388287</v>
      </c>
      <c r="O10" s="160">
        <f t="shared" si="0"/>
        <v>1991449.7978838207</v>
      </c>
      <c r="P10" s="161">
        <f>+'ต.5 ถั่ว-สนับสนุนให้ กก หลัก-61'!G9</f>
        <v>12</v>
      </c>
      <c r="Q10" s="161" t="str">
        <f>+'ต.5 ถั่ว-สนับสนุนให้ กก หลัก-61'!H9</f>
        <v>ครั้ง</v>
      </c>
      <c r="R10" s="163">
        <f t="shared" si="3"/>
        <v>165954.14982365174</v>
      </c>
      <c r="S10" s="164">
        <f t="shared" si="4"/>
        <v>-3.0125275808934475</v>
      </c>
      <c r="T10" s="165">
        <f t="shared" si="5"/>
        <v>20</v>
      </c>
      <c r="U10" s="166">
        <f t="shared" si="6"/>
        <v>-19.177106317411187</v>
      </c>
      <c r="Y10" s="108">
        <v>10</v>
      </c>
      <c r="Z10" s="108" t="s">
        <v>28</v>
      </c>
    </row>
    <row r="11" spans="1:26" s="108" customFormat="1" ht="43.5" x14ac:dyDescent="0.2">
      <c r="A11" s="128">
        <v>6</v>
      </c>
      <c r="B11" s="129" t="s">
        <v>31</v>
      </c>
      <c r="C11" s="106">
        <v>2476102.7853912753</v>
      </c>
      <c r="D11" s="106">
        <v>207173.9650761722</v>
      </c>
      <c r="E11" s="106">
        <v>54464.868062802285</v>
      </c>
      <c r="F11" s="160">
        <f t="shared" si="1"/>
        <v>2737741.6185302497</v>
      </c>
      <c r="G11" s="161">
        <v>14</v>
      </c>
      <c r="H11" s="162" t="s">
        <v>28</v>
      </c>
      <c r="I11" s="163">
        <f t="shared" si="2"/>
        <v>195552.97275216068</v>
      </c>
      <c r="J11" s="128">
        <v>6</v>
      </c>
      <c r="K11" s="129" t="s">
        <v>31</v>
      </c>
      <c r="L11" s="106">
        <f>+'ต.5 ถั่ว-สนับสนุนให้ กก หลัก-61'!C10</f>
        <v>2384954.5797768915</v>
      </c>
      <c r="M11" s="106">
        <f>+'ต.5 ถั่ว-สนับสนุนให้ กก หลัก-61'!D10</f>
        <v>193375.70240901803</v>
      </c>
      <c r="N11" s="106">
        <f>+'ต.5 ถั่ว-สนับสนุนให้ กก หลัก-61'!E10</f>
        <v>76936.114992517716</v>
      </c>
      <c r="O11" s="160">
        <f t="shared" si="0"/>
        <v>2655266.3971784269</v>
      </c>
      <c r="P11" s="161">
        <f>+'ต.5 ถั่ว-สนับสนุนให้ กก หลัก-61'!G10</f>
        <v>16</v>
      </c>
      <c r="Q11" s="161" t="str">
        <f>+'ต.5 ถั่ว-สนับสนุนให้ กก หลัก-61'!H10</f>
        <v>ครั้ง</v>
      </c>
      <c r="R11" s="163">
        <f t="shared" si="3"/>
        <v>165954.14982365168</v>
      </c>
      <c r="S11" s="164">
        <f t="shared" si="4"/>
        <v>-3.0125275808934617</v>
      </c>
      <c r="T11" s="165">
        <f t="shared" si="5"/>
        <v>14.285714285714278</v>
      </c>
      <c r="U11" s="166">
        <f t="shared" si="6"/>
        <v>-15.135961633281781</v>
      </c>
      <c r="Y11" s="108">
        <v>14</v>
      </c>
      <c r="Z11" s="108" t="s">
        <v>28</v>
      </c>
    </row>
    <row r="12" spans="1:26" s="108" customFormat="1" x14ac:dyDescent="0.2">
      <c r="A12" s="128">
        <v>7</v>
      </c>
      <c r="B12" s="129" t="s">
        <v>30</v>
      </c>
      <c r="C12" s="106">
        <v>5800270.7747790618</v>
      </c>
      <c r="D12" s="106">
        <v>485305.01319093339</v>
      </c>
      <c r="E12" s="106">
        <v>127583.95343711435</v>
      </c>
      <c r="F12" s="160">
        <f t="shared" si="1"/>
        <v>6413159.7414071094</v>
      </c>
      <c r="G12" s="161">
        <v>25</v>
      </c>
      <c r="H12" s="162" t="s">
        <v>28</v>
      </c>
      <c r="I12" s="163">
        <f t="shared" si="2"/>
        <v>256526.38965628439</v>
      </c>
      <c r="J12" s="128">
        <v>7</v>
      </c>
      <c r="K12" s="129" t="s">
        <v>30</v>
      </c>
      <c r="L12" s="106">
        <f>+'ต.5 ถั่ว-สนับสนุนให้ กก หลัก-61'!C11</f>
        <v>7375472.0379600367</v>
      </c>
      <c r="M12" s="106">
        <f>+'ต.5 ถั่ว-สนับสนุนให้ กก หลัก-61'!D11</f>
        <v>598014.35969988827</v>
      </c>
      <c r="N12" s="106">
        <f>+'ต.5 ถั่ว-สนับสนุนให้ กก หลัก-61'!E11</f>
        <v>237924.93561436105</v>
      </c>
      <c r="O12" s="160">
        <f t="shared" si="0"/>
        <v>8211411.3332742862</v>
      </c>
      <c r="P12" s="161">
        <f>+'ต.5 ถั่ว-สนับสนุนให้ กก หลัก-61'!G11</f>
        <v>40</v>
      </c>
      <c r="Q12" s="161" t="str">
        <f>+'ต.5 ถั่ว-สนับสนุนให้ กก หลัก-61'!H11</f>
        <v>ครั้ง</v>
      </c>
      <c r="R12" s="163">
        <f t="shared" si="3"/>
        <v>205285.28333185715</v>
      </c>
      <c r="S12" s="164">
        <f t="shared" si="4"/>
        <v>28.040024954572914</v>
      </c>
      <c r="T12" s="165">
        <f t="shared" si="5"/>
        <v>60</v>
      </c>
      <c r="U12" s="166">
        <f t="shared" si="6"/>
        <v>-19.974984403391943</v>
      </c>
      <c r="Y12" s="108">
        <v>25</v>
      </c>
      <c r="Z12" s="108" t="s">
        <v>28</v>
      </c>
    </row>
    <row r="13" spans="1:26" s="108" customFormat="1" x14ac:dyDescent="0.2">
      <c r="A13" s="128">
        <v>8</v>
      </c>
      <c r="B13" s="129" t="s">
        <v>207</v>
      </c>
      <c r="C13" s="106">
        <v>1795174.5194086747</v>
      </c>
      <c r="D13" s="106">
        <v>150201.12468022486</v>
      </c>
      <c r="E13" s="106">
        <v>39487.029345531657</v>
      </c>
      <c r="F13" s="160">
        <f t="shared" si="1"/>
        <v>1984862.6734344312</v>
      </c>
      <c r="G13" s="161">
        <v>6</v>
      </c>
      <c r="H13" s="162" t="s">
        <v>8</v>
      </c>
      <c r="I13" s="163">
        <f t="shared" si="2"/>
        <v>330810.44557240518</v>
      </c>
      <c r="J13" s="128">
        <v>8</v>
      </c>
      <c r="K13" s="129" t="s">
        <v>526</v>
      </c>
      <c r="L13" s="106"/>
      <c r="M13" s="106"/>
      <c r="N13" s="106"/>
      <c r="O13" s="160"/>
      <c r="P13" s="161"/>
      <c r="Q13" s="161"/>
      <c r="R13" s="163" t="e">
        <f t="shared" si="3"/>
        <v>#DIV/0!</v>
      </c>
      <c r="S13" s="164">
        <f t="shared" si="4"/>
        <v>-100</v>
      </c>
      <c r="T13" s="165">
        <f t="shared" si="5"/>
        <v>-100</v>
      </c>
      <c r="U13" s="166" t="e">
        <f t="shared" si="6"/>
        <v>#DIV/0!</v>
      </c>
    </row>
    <row r="14" spans="1:26" s="108" customFormat="1" ht="43.5" x14ac:dyDescent="0.2">
      <c r="A14" s="128">
        <v>9</v>
      </c>
      <c r="B14" s="129" t="s">
        <v>222</v>
      </c>
      <c r="C14" s="106">
        <v>5571231.2671303693</v>
      </c>
      <c r="D14" s="106">
        <v>466141.42142138752</v>
      </c>
      <c r="E14" s="106">
        <v>122545.95314130517</v>
      </c>
      <c r="F14" s="160">
        <f t="shared" si="1"/>
        <v>6159918.6416930621</v>
      </c>
      <c r="G14" s="161">
        <v>3</v>
      </c>
      <c r="H14" s="162" t="s">
        <v>28</v>
      </c>
      <c r="I14" s="163">
        <f t="shared" si="2"/>
        <v>2053306.2138976874</v>
      </c>
      <c r="J14" s="128">
        <v>9</v>
      </c>
      <c r="K14" s="129" t="s">
        <v>494</v>
      </c>
      <c r="L14" s="106">
        <f>+'ต.5 ถั่ว-สนับสนุนให้ กก หลัก-61'!C12</f>
        <v>5366147.8044980057</v>
      </c>
      <c r="M14" s="106">
        <f>+'ต.5 ถั่ว-สนับสนุนให้ กก หลัก-61'!D12</f>
        <v>435095.33042029059</v>
      </c>
      <c r="N14" s="106">
        <f>+'ต.5 ถั่ว-สนับสนุนให้ กก หลัก-61'!E12</f>
        <v>173106.25873316487</v>
      </c>
      <c r="O14" s="160">
        <f t="shared" si="0"/>
        <v>5974349.3936514612</v>
      </c>
      <c r="P14" s="161">
        <f>+'ต.5 ถั่ว-สนับสนุนให้ กก หลัก-61'!G12</f>
        <v>3</v>
      </c>
      <c r="Q14" s="161" t="str">
        <f>+'ต.5 ถั่ว-สนับสนุนให้ กก หลัก-61'!H12</f>
        <v>ครั้ง</v>
      </c>
      <c r="R14" s="163">
        <f t="shared" si="3"/>
        <v>1991449.7978838205</v>
      </c>
      <c r="S14" s="164">
        <f t="shared" si="4"/>
        <v>-3.0125275808934475</v>
      </c>
      <c r="T14" s="165">
        <f t="shared" si="5"/>
        <v>0</v>
      </c>
      <c r="U14" s="166">
        <f t="shared" si="6"/>
        <v>-3.0125275808934475</v>
      </c>
      <c r="Y14" s="108">
        <v>3</v>
      </c>
      <c r="Z14" s="108" t="s">
        <v>28</v>
      </c>
    </row>
    <row r="15" spans="1:26" s="108" customFormat="1" ht="43.5" x14ac:dyDescent="0.2">
      <c r="A15" s="128">
        <v>10</v>
      </c>
      <c r="B15" s="129" t="s">
        <v>309</v>
      </c>
      <c r="C15" s="106">
        <v>1238051.3926956377</v>
      </c>
      <c r="D15" s="106">
        <v>103586.9825380861</v>
      </c>
      <c r="E15" s="106">
        <v>27232.434031401142</v>
      </c>
      <c r="F15" s="160">
        <f t="shared" si="1"/>
        <v>1368870.8092651248</v>
      </c>
      <c r="G15" s="161">
        <v>1</v>
      </c>
      <c r="H15" s="162" t="s">
        <v>1</v>
      </c>
      <c r="I15" s="163">
        <f t="shared" si="2"/>
        <v>1368870.8092651248</v>
      </c>
      <c r="J15" s="128">
        <v>10</v>
      </c>
      <c r="K15" s="579" t="s">
        <v>309</v>
      </c>
      <c r="L15" s="106">
        <f>+'ต.5 ถั่ว-สนับสนุนให้ กก หลัก-61'!C13</f>
        <v>1192477.2898884458</v>
      </c>
      <c r="M15" s="106">
        <f>+'ต.5 ถั่ว-สนับสนุนให้ กก หลัก-61'!D13</f>
        <v>96687.851204509017</v>
      </c>
      <c r="N15" s="106">
        <f>+'ต.5 ถั่ว-สนับสนุนให้ กก หลัก-61'!E13</f>
        <v>38468.057496258858</v>
      </c>
      <c r="O15" s="160">
        <f t="shared" si="0"/>
        <v>1327633.1985892134</v>
      </c>
      <c r="P15" s="161">
        <f>+'ต.5 ถั่ว-สนับสนุนให้ กก หลัก-61'!G13</f>
        <v>1</v>
      </c>
      <c r="Q15" s="161" t="str">
        <f>+'ต.5 ถั่ว-สนับสนุนให้ กก หลัก-61'!H13</f>
        <v>เรื่อง</v>
      </c>
      <c r="R15" s="163">
        <f t="shared" si="3"/>
        <v>1327633.1985892134</v>
      </c>
      <c r="S15" s="164">
        <f t="shared" si="4"/>
        <v>-3.0125275808934617</v>
      </c>
      <c r="T15" s="165">
        <f t="shared" si="5"/>
        <v>0</v>
      </c>
      <c r="U15" s="166">
        <f t="shared" si="6"/>
        <v>-3.0125275808934617</v>
      </c>
      <c r="Y15" s="108">
        <v>1</v>
      </c>
      <c r="Z15" s="108" t="s">
        <v>1</v>
      </c>
    </row>
    <row r="16" spans="1:26" s="108" customFormat="1" ht="22.5" thickBot="1" x14ac:dyDescent="0.55000000000000004">
      <c r="A16" s="187">
        <v>11</v>
      </c>
      <c r="B16" s="586" t="s">
        <v>310</v>
      </c>
      <c r="C16" s="167">
        <v>1250431.9066225942</v>
      </c>
      <c r="D16" s="167">
        <v>104622.85236346698</v>
      </c>
      <c r="E16" s="167">
        <v>27504.758371715154</v>
      </c>
      <c r="F16" s="160">
        <f t="shared" si="1"/>
        <v>1382559.5173577764</v>
      </c>
      <c r="G16" s="188">
        <v>1</v>
      </c>
      <c r="H16" s="189" t="s">
        <v>1</v>
      </c>
      <c r="I16" s="163">
        <f t="shared" si="2"/>
        <v>1382559.5173577764</v>
      </c>
      <c r="J16" s="187">
        <v>11</v>
      </c>
      <c r="K16" s="1427" t="s">
        <v>477</v>
      </c>
      <c r="L16" s="167">
        <f>+'ต.5 ถั่ว-สนับสนุนให้ กก หลัก-61'!C14</f>
        <v>1204402.0627873302</v>
      </c>
      <c r="M16" s="167">
        <f>+'ต.5 ถั่ว-สนับสนุนให้ กก หลัก-61'!D14</f>
        <v>97654.729716554109</v>
      </c>
      <c r="N16" s="167">
        <f>+'ต.5 ถั่ว-สนับสนุนให้ กก หลัก-61'!E14</f>
        <v>38852.738071221451</v>
      </c>
      <c r="O16" s="168">
        <f t="shared" si="0"/>
        <v>1340909.5305751057</v>
      </c>
      <c r="P16" s="188">
        <f>+'ต.5 ถั่ว-สนับสนุนให้ กก หลัก-61'!G14</f>
        <v>1</v>
      </c>
      <c r="Q16" s="188" t="str">
        <f>+'ต.5 ถั่ว-สนับสนุนให้ กก หลัก-61'!H14</f>
        <v>เรื่อง</v>
      </c>
      <c r="R16" s="169">
        <f t="shared" si="3"/>
        <v>1340909.5305751057</v>
      </c>
      <c r="S16" s="170">
        <f t="shared" si="4"/>
        <v>-3.0125275808934759</v>
      </c>
      <c r="T16" s="171">
        <f t="shared" si="5"/>
        <v>0</v>
      </c>
      <c r="U16" s="172">
        <f t="shared" si="6"/>
        <v>-3.0125275808934759</v>
      </c>
      <c r="Y16" s="108">
        <v>1</v>
      </c>
      <c r="Z16" s="108" t="s">
        <v>1</v>
      </c>
    </row>
    <row r="17" spans="1:26" s="113" customFormat="1" x14ac:dyDescent="0.2">
      <c r="A17" s="173" t="s">
        <v>137</v>
      </c>
      <c r="B17" s="174"/>
      <c r="C17" s="151">
        <f>SUM(C18)</f>
        <v>4142706.7753922706</v>
      </c>
      <c r="D17" s="151">
        <f>SUM(D18)</f>
        <v>705573.00450999313</v>
      </c>
      <c r="E17" s="151">
        <f>SUM(E18)</f>
        <v>361614.18782882218</v>
      </c>
      <c r="F17" s="151">
        <f>SUM(C17:E17)</f>
        <v>5209893.9677310856</v>
      </c>
      <c r="G17" s="152"/>
      <c r="H17" s="153"/>
      <c r="I17" s="154"/>
      <c r="J17" s="173" t="s">
        <v>137</v>
      </c>
      <c r="K17" s="174"/>
      <c r="L17" s="151">
        <f>SUM(L18)</f>
        <v>2134170.8421284007</v>
      </c>
      <c r="M17" s="151">
        <f>SUM(M18)</f>
        <v>817080.99960240431</v>
      </c>
      <c r="N17" s="151">
        <f>SUM(N18)</f>
        <v>326862.85299533117</v>
      </c>
      <c r="O17" s="151">
        <f t="shared" si="0"/>
        <v>3278114.6947261365</v>
      </c>
      <c r="P17" s="152"/>
      <c r="Q17" s="153"/>
      <c r="R17" s="154"/>
      <c r="S17" s="175"/>
      <c r="T17" s="176"/>
      <c r="U17" s="177"/>
    </row>
    <row r="18" spans="1:26" s="108" customFormat="1" ht="44.25" thickBot="1" x14ac:dyDescent="0.25">
      <c r="A18" s="580">
        <v>1</v>
      </c>
      <c r="B18" s="581" t="s">
        <v>183</v>
      </c>
      <c r="C18" s="582">
        <v>4142706.7753922706</v>
      </c>
      <c r="D18" s="582">
        <v>705573.00450999313</v>
      </c>
      <c r="E18" s="582">
        <v>361614.18782882218</v>
      </c>
      <c r="F18" s="529">
        <f>SUM(C18:E18)</f>
        <v>5209893.9677310856</v>
      </c>
      <c r="G18" s="530">
        <v>7</v>
      </c>
      <c r="H18" s="690" t="s">
        <v>1</v>
      </c>
      <c r="I18" s="583">
        <f>+F18/G18</f>
        <v>744270.56681872648</v>
      </c>
      <c r="J18" s="580">
        <v>1</v>
      </c>
      <c r="K18" s="581" t="s">
        <v>183</v>
      </c>
      <c r="L18" s="582">
        <f>+'ต.5 ถั่ว-สนับสนุนให้ กก หลัก-61'!C16</f>
        <v>2134170.8421284007</v>
      </c>
      <c r="M18" s="582">
        <f>+'ต.5 ถั่ว-สนับสนุนให้ กก หลัก-61'!D16</f>
        <v>817080.99960240431</v>
      </c>
      <c r="N18" s="582">
        <f>+'ต.5 ถั่ว-สนับสนุนให้ กก หลัก-61'!E16</f>
        <v>326862.85299533117</v>
      </c>
      <c r="O18" s="529">
        <f t="shared" si="0"/>
        <v>3278114.6947261365</v>
      </c>
      <c r="P18" s="530">
        <f>+'ต.5 ถั่ว-สนับสนุนให้ กก หลัก-61'!G16</f>
        <v>5</v>
      </c>
      <c r="Q18" s="530" t="str">
        <f>+'ต.5 ถั่ว-สนับสนุนให้ กก หลัก-61'!H16</f>
        <v>เรื่อง</v>
      </c>
      <c r="R18" s="583">
        <f>+O18/P18</f>
        <v>655622.9389452273</v>
      </c>
      <c r="S18" s="584">
        <f>+O18/F18*100-100</f>
        <v>-37.079051607766999</v>
      </c>
      <c r="T18" s="585">
        <f>+P18/G18*100-100</f>
        <v>-28.571428571428569</v>
      </c>
      <c r="U18" s="707">
        <f>+R18/I18*100-100</f>
        <v>-11.910672250873802</v>
      </c>
      <c r="Y18" s="108">
        <v>5</v>
      </c>
      <c r="Z18" s="108" t="s">
        <v>1</v>
      </c>
    </row>
    <row r="19" spans="1:26" s="113" customFormat="1" x14ac:dyDescent="0.2">
      <c r="A19" s="178" t="s">
        <v>240</v>
      </c>
      <c r="B19" s="179"/>
      <c r="C19" s="180">
        <f>SUM(C20:C24)</f>
        <v>15621463.617705513</v>
      </c>
      <c r="D19" s="180">
        <f>SUM(D20:D24)</f>
        <v>1486311.2833140295</v>
      </c>
      <c r="E19" s="180">
        <f>SUM(E20:E24)</f>
        <v>525648.58805361041</v>
      </c>
      <c r="F19" s="180">
        <f>SUM(C19:E19)</f>
        <v>17633423.489073154</v>
      </c>
      <c r="G19" s="181"/>
      <c r="H19" s="182"/>
      <c r="I19" s="183"/>
      <c r="J19" s="178" t="s">
        <v>240</v>
      </c>
      <c r="K19" s="179"/>
      <c r="L19" s="180">
        <f>SUM(L20:L24)</f>
        <v>15406294.129486185</v>
      </c>
      <c r="M19" s="180">
        <f>SUM(M20:M24)</f>
        <v>1516337.2783264038</v>
      </c>
      <c r="N19" s="180">
        <f>SUM(N20:N24)</f>
        <v>441917.49274920451</v>
      </c>
      <c r="O19" s="180">
        <f t="shared" si="0"/>
        <v>17364548.900561791</v>
      </c>
      <c r="P19" s="181"/>
      <c r="Q19" s="182"/>
      <c r="R19" s="183"/>
      <c r="S19" s="184"/>
      <c r="T19" s="185"/>
      <c r="U19" s="186"/>
    </row>
    <row r="20" spans="1:26" s="108" customFormat="1" ht="65.25" x14ac:dyDescent="0.2">
      <c r="A20" s="128">
        <v>1</v>
      </c>
      <c r="B20" s="129" t="s">
        <v>45</v>
      </c>
      <c r="C20" s="106">
        <v>3341083.0796488835</v>
      </c>
      <c r="D20" s="106">
        <v>317888.87400687195</v>
      </c>
      <c r="E20" s="106">
        <v>112424.52348682041</v>
      </c>
      <c r="F20" s="160">
        <f t="shared" ref="F20:F46" si="7">SUM(C20:E20)</f>
        <v>3771396.4771425761</v>
      </c>
      <c r="G20" s="161">
        <v>1</v>
      </c>
      <c r="H20" s="162" t="s">
        <v>1</v>
      </c>
      <c r="I20" s="163">
        <f>+F20/G20</f>
        <v>3771396.4771425761</v>
      </c>
      <c r="J20" s="128">
        <v>1</v>
      </c>
      <c r="K20" s="129" t="s">
        <v>45</v>
      </c>
      <c r="L20" s="106">
        <f>+'ต.5 ถั่ว-สนับสนุนให้ กก หลัก-61'!C18</f>
        <v>2811807.8691840139</v>
      </c>
      <c r="M20" s="106">
        <f>+'ต.5 ถั่ว-สนับสนุนให้ กก หลัก-61'!D18</f>
        <v>276747.22134345281</v>
      </c>
      <c r="N20" s="106">
        <f>+'ต.5 ถั่ว-สนับสนุนให้ กก หลัก-61'!E18</f>
        <v>80654.508683180902</v>
      </c>
      <c r="O20" s="160">
        <f t="shared" si="0"/>
        <v>3169209.5992106474</v>
      </c>
      <c r="P20" s="161">
        <f>+'ต.5 ถั่ว-สนับสนุนให้ กก หลัก-61'!G18</f>
        <v>1</v>
      </c>
      <c r="Q20" s="161" t="str">
        <f>+'ต.5 ถั่ว-สนับสนุนให้ กก หลัก-61'!H18</f>
        <v>เรื่อง</v>
      </c>
      <c r="R20" s="163">
        <f>+O20/P20</f>
        <v>3169209.5992106474</v>
      </c>
      <c r="S20" s="164">
        <f t="shared" ref="S20:T24" si="8">+O20/F20*100-100</f>
        <v>-15.967212187358768</v>
      </c>
      <c r="T20" s="165">
        <f t="shared" si="8"/>
        <v>0</v>
      </c>
      <c r="U20" s="166">
        <f>+R20/I20*100-100</f>
        <v>-15.967212187358768</v>
      </c>
      <c r="Y20" s="108">
        <v>1</v>
      </c>
      <c r="Z20" s="108" t="s">
        <v>1</v>
      </c>
    </row>
    <row r="21" spans="1:26" s="108" customFormat="1" ht="43.5" x14ac:dyDescent="0.2">
      <c r="A21" s="128">
        <v>2</v>
      </c>
      <c r="B21" s="129" t="s">
        <v>46</v>
      </c>
      <c r="C21" s="106">
        <v>2528119.244244705</v>
      </c>
      <c r="D21" s="106">
        <v>240539.0589666242</v>
      </c>
      <c r="E21" s="106">
        <v>85069.001451451666</v>
      </c>
      <c r="F21" s="160">
        <f t="shared" si="7"/>
        <v>2853727.3046627808</v>
      </c>
      <c r="G21" s="161">
        <v>1</v>
      </c>
      <c r="H21" s="162" t="s">
        <v>1</v>
      </c>
      <c r="I21" s="163">
        <f>+F21/G21</f>
        <v>2853727.3046627808</v>
      </c>
      <c r="J21" s="128">
        <v>2</v>
      </c>
      <c r="K21" s="129" t="s">
        <v>46</v>
      </c>
      <c r="L21" s="106">
        <f>+'ต.5 ถั่ว-สนับสนุนให้ กก หลัก-61'!C19</f>
        <v>2248776.019335486</v>
      </c>
      <c r="M21" s="106">
        <f>+'ต.5 ถั่ว-สนับสนุนให้ กก หลัก-61'!D19</f>
        <v>221331.80634261842</v>
      </c>
      <c r="N21" s="106">
        <f>+'ต.5 ถั่ว-สนับสนุนให้ กก หลัก-61'!E19</f>
        <v>64504.380603592843</v>
      </c>
      <c r="O21" s="160">
        <f t="shared" si="0"/>
        <v>2534612.2062816974</v>
      </c>
      <c r="P21" s="161">
        <f>+'ต.5 ถั่ว-สนับสนุนให้ กก หลัก-61'!G19</f>
        <v>1</v>
      </c>
      <c r="Q21" s="161" t="str">
        <f>+'ต.5 ถั่ว-สนับสนุนให้ กก หลัก-61'!H19</f>
        <v>เรื่อง</v>
      </c>
      <c r="R21" s="163">
        <f>+O21/P21</f>
        <v>2534612.2062816974</v>
      </c>
      <c r="S21" s="164">
        <f t="shared" si="8"/>
        <v>-11.182396364911</v>
      </c>
      <c r="T21" s="165">
        <f t="shared" si="8"/>
        <v>0</v>
      </c>
      <c r="U21" s="166">
        <f>+R21/I21*100-100</f>
        <v>-11.182396364911</v>
      </c>
      <c r="Y21" s="108">
        <v>1</v>
      </c>
      <c r="Z21" s="108" t="s">
        <v>1</v>
      </c>
    </row>
    <row r="22" spans="1:26" s="108" customFormat="1" ht="48" customHeight="1" x14ac:dyDescent="0.2">
      <c r="A22" s="128">
        <v>3</v>
      </c>
      <c r="B22" s="129" t="s">
        <v>47</v>
      </c>
      <c r="C22" s="106">
        <v>3250202.9760976043</v>
      </c>
      <c r="D22" s="106">
        <v>309242.0450897711</v>
      </c>
      <c r="E22" s="106">
        <v>109366.48748693164</v>
      </c>
      <c r="F22" s="160">
        <f t="shared" si="7"/>
        <v>3668811.5086743068</v>
      </c>
      <c r="G22" s="161">
        <v>1</v>
      </c>
      <c r="H22" s="162" t="s">
        <v>1</v>
      </c>
      <c r="I22" s="163">
        <f>+F22/G22</f>
        <v>3668811.5086743068</v>
      </c>
      <c r="J22" s="128">
        <v>3</v>
      </c>
      <c r="K22" s="129" t="s">
        <v>47</v>
      </c>
      <c r="L22" s="106">
        <f>+'ต.5 ถั่ว-สนับสนุนให้ กก หลัก-61'!C20</f>
        <v>3036350.3331117001</v>
      </c>
      <c r="M22" s="106">
        <f>+'ต.5 ถั่ว-สนับสนุนให้ กก หลัก-61'!D20</f>
        <v>298847.41661164281</v>
      </c>
      <c r="N22" s="106">
        <f>+'ต.5 ถั่ว-สนับสนุนให้ กก หลัก-61'!E20</f>
        <v>87095.33357206425</v>
      </c>
      <c r="O22" s="160">
        <f t="shared" si="0"/>
        <v>3422293.0832954072</v>
      </c>
      <c r="P22" s="161">
        <f>+'ต.5 ถั่ว-สนับสนุนให้ กก หลัก-61'!G20</f>
        <v>1</v>
      </c>
      <c r="Q22" s="161" t="str">
        <f>+'ต.5 ถั่ว-สนับสนุนให้ กก หลัก-61'!H20</f>
        <v>เรื่อง</v>
      </c>
      <c r="R22" s="163">
        <f>+O22/P22</f>
        <v>3422293.0832954072</v>
      </c>
      <c r="S22" s="164">
        <f t="shared" si="8"/>
        <v>-6.7192992825073361</v>
      </c>
      <c r="T22" s="165">
        <f t="shared" si="8"/>
        <v>0</v>
      </c>
      <c r="U22" s="166">
        <f>+R22/I22*100-100</f>
        <v>-6.7192992825073361</v>
      </c>
      <c r="Y22" s="108">
        <v>1</v>
      </c>
      <c r="Z22" s="108" t="s">
        <v>1</v>
      </c>
    </row>
    <row r="23" spans="1:26" s="108" customFormat="1" x14ac:dyDescent="0.2">
      <c r="A23" s="128">
        <v>4</v>
      </c>
      <c r="B23" s="129" t="s">
        <v>178</v>
      </c>
      <c r="C23" s="106">
        <v>3341083.0796488835</v>
      </c>
      <c r="D23" s="106">
        <v>317888.87400687195</v>
      </c>
      <c r="E23" s="106">
        <v>112424.52348682041</v>
      </c>
      <c r="F23" s="160">
        <f t="shared" si="7"/>
        <v>3771396.4771425761</v>
      </c>
      <c r="G23" s="161">
        <v>1</v>
      </c>
      <c r="H23" s="162" t="s">
        <v>1</v>
      </c>
      <c r="I23" s="163">
        <f>+F23/G23</f>
        <v>3771396.4771425761</v>
      </c>
      <c r="J23" s="128">
        <v>4</v>
      </c>
      <c r="K23" s="129" t="s">
        <v>178</v>
      </c>
      <c r="L23" s="106">
        <f>+'ต.5 ถั่ว-สนับสนุนให้ กก หลัก-61'!C21</f>
        <v>3373164.0290032295</v>
      </c>
      <c r="M23" s="106">
        <f>+'ต.5 ถั่ว-สนับสนุนให้ กก หลัก-61'!D21</f>
        <v>331997.70951392764</v>
      </c>
      <c r="N23" s="106">
        <f>+'ต.5 ถั่ว-สนับสนุนให้ กก หลัก-61'!E21</f>
        <v>96756.570905389235</v>
      </c>
      <c r="O23" s="160">
        <f t="shared" si="0"/>
        <v>3801918.3094225465</v>
      </c>
      <c r="P23" s="161">
        <f>+'ต.5 ถั่ว-สนับสนุนให้ กก หลัก-61'!G21</f>
        <v>1</v>
      </c>
      <c r="Q23" s="161" t="str">
        <f>+'ต.5 ถั่ว-สนับสนุนให้ กก หลัก-61'!H21</f>
        <v>เรื่อง</v>
      </c>
      <c r="R23" s="163">
        <f>+O23/P23</f>
        <v>3801918.3094225465</v>
      </c>
      <c r="S23" s="164">
        <f t="shared" si="8"/>
        <v>0.80929789442598121</v>
      </c>
      <c r="T23" s="165">
        <f t="shared" si="8"/>
        <v>0</v>
      </c>
      <c r="U23" s="166">
        <f>+R23/I23*100-100</f>
        <v>0.80929789442598121</v>
      </c>
      <c r="Y23" s="108">
        <v>1</v>
      </c>
      <c r="Z23" s="108" t="s">
        <v>1</v>
      </c>
    </row>
    <row r="24" spans="1:26" s="108" customFormat="1" ht="22.5" thickBot="1" x14ac:dyDescent="0.25">
      <c r="A24" s="128">
        <v>5</v>
      </c>
      <c r="B24" s="129" t="s">
        <v>179</v>
      </c>
      <c r="C24" s="106">
        <v>3160975.2380654374</v>
      </c>
      <c r="D24" s="106">
        <v>300752.4312438902</v>
      </c>
      <c r="E24" s="106">
        <v>106364.05214158627</v>
      </c>
      <c r="F24" s="160">
        <f t="shared" si="7"/>
        <v>3568091.7214509137</v>
      </c>
      <c r="G24" s="161">
        <v>1</v>
      </c>
      <c r="H24" s="162" t="s">
        <v>1</v>
      </c>
      <c r="I24" s="163">
        <f>+F24/G24</f>
        <v>3568091.7214509137</v>
      </c>
      <c r="J24" s="128">
        <v>5</v>
      </c>
      <c r="K24" s="129" t="s">
        <v>179</v>
      </c>
      <c r="L24" s="106">
        <f>+'ต.5 ถั่ว-สนับสนุนให้ กก หลัก-61'!C22</f>
        <v>3936195.8788517565</v>
      </c>
      <c r="M24" s="106">
        <f>+'ต.5 ถั่ว-สนับสนุนให้ กก หลัก-61'!D22</f>
        <v>387413.12451476208</v>
      </c>
      <c r="N24" s="106">
        <f>+'ต.5 ถั่ว-สนับสนุนให้ กก หลัก-61'!E22</f>
        <v>112906.69898497732</v>
      </c>
      <c r="O24" s="160">
        <f t="shared" si="0"/>
        <v>4436515.7023514956</v>
      </c>
      <c r="P24" s="161">
        <f>+'ต.5 ถั่ว-สนับสนุนให้ กก หลัก-61'!G22</f>
        <v>1</v>
      </c>
      <c r="Q24" s="161" t="str">
        <f>+'ต.5 ถั่ว-สนับสนุนให้ กก หลัก-61'!H22</f>
        <v>เรื่อง</v>
      </c>
      <c r="R24" s="163">
        <f>+O24/P24</f>
        <v>4436515.7023514956</v>
      </c>
      <c r="S24" s="164">
        <f t="shared" si="8"/>
        <v>24.338611467853454</v>
      </c>
      <c r="T24" s="165">
        <f t="shared" si="8"/>
        <v>0</v>
      </c>
      <c r="U24" s="166">
        <f>+R24/I24*100-100</f>
        <v>24.338611467853454</v>
      </c>
      <c r="Y24" s="108">
        <v>1</v>
      </c>
      <c r="Z24" s="108" t="s">
        <v>1</v>
      </c>
    </row>
    <row r="25" spans="1:26" s="113" customFormat="1" x14ac:dyDescent="0.2">
      <c r="A25" s="173" t="s">
        <v>91</v>
      </c>
      <c r="B25" s="190"/>
      <c r="C25" s="151">
        <f>SUM(C26:C27)</f>
        <v>81101773.625585645</v>
      </c>
      <c r="D25" s="151">
        <f>SUM(D26:D27)</f>
        <v>5992973.1723163836</v>
      </c>
      <c r="E25" s="151">
        <f>SUM(E26:E27)</f>
        <v>1784694.2488248078</v>
      </c>
      <c r="F25" s="151">
        <f t="shared" si="7"/>
        <v>88879441.046726838</v>
      </c>
      <c r="G25" s="152"/>
      <c r="H25" s="153"/>
      <c r="I25" s="154"/>
      <c r="J25" s="173" t="s">
        <v>91</v>
      </c>
      <c r="K25" s="190"/>
      <c r="L25" s="151">
        <f>SUM(L26:L27)</f>
        <v>79910661.557936937</v>
      </c>
      <c r="M25" s="151">
        <f>SUM(M26:M27)</f>
        <v>5794929.3491829857</v>
      </c>
      <c r="N25" s="151">
        <f>SUM(N26:N27)</f>
        <v>2123661.3347671945</v>
      </c>
      <c r="O25" s="151">
        <f t="shared" si="0"/>
        <v>87829252.241887122</v>
      </c>
      <c r="P25" s="152"/>
      <c r="Q25" s="153"/>
      <c r="R25" s="154"/>
      <c r="S25" s="155"/>
      <c r="T25" s="156"/>
      <c r="U25" s="157"/>
    </row>
    <row r="26" spans="1:26" s="113" customFormat="1" ht="43.5" x14ac:dyDescent="0.2">
      <c r="A26" s="133">
        <v>1</v>
      </c>
      <c r="B26" s="200" t="s">
        <v>43</v>
      </c>
      <c r="C26" s="103">
        <v>48685394.707439058</v>
      </c>
      <c r="D26" s="103">
        <v>3597581.7953415252</v>
      </c>
      <c r="E26" s="103">
        <v>1071351.9575695321</v>
      </c>
      <c r="F26" s="192">
        <f t="shared" si="7"/>
        <v>53354328.460350119</v>
      </c>
      <c r="G26" s="193">
        <v>27</v>
      </c>
      <c r="H26" s="194" t="s">
        <v>7</v>
      </c>
      <c r="I26" s="195">
        <f>+F26/G26</f>
        <v>1976086.2392722266</v>
      </c>
      <c r="J26" s="133">
        <v>1</v>
      </c>
      <c r="K26" s="200" t="s">
        <v>527</v>
      </c>
      <c r="L26" s="103">
        <f>+'ต.5 ถั่ว-สนับสนุนให้ กก หลัก-61'!C24</f>
        <v>52860902.620575279</v>
      </c>
      <c r="M26" s="103">
        <f>+'ต.5 ถั่ว-สนับสนุนให้ กก หลัก-61'!D24</f>
        <v>3833345.7644845448</v>
      </c>
      <c r="N26" s="103">
        <f>+'ต.5 ถั่ว-สนับสนุนให้ กก หลัก-61'!E24</f>
        <v>1404801.972948499</v>
      </c>
      <c r="O26" s="192">
        <f t="shared" si="0"/>
        <v>58099050.358008325</v>
      </c>
      <c r="P26" s="193">
        <f>+'ต.5 ถั่ว-สนับสนุนให้ กก หลัก-61'!G24</f>
        <v>28</v>
      </c>
      <c r="Q26" s="194" t="str">
        <f>+'ต.5 ถั่ว-สนับสนุนให้ กก หลัก-61'!H24</f>
        <v>สินค้า</v>
      </c>
      <c r="R26" s="195">
        <f>+O26/P26</f>
        <v>2074966.084214583</v>
      </c>
      <c r="S26" s="196">
        <f>+O26/F26*100-100</f>
        <v>8.8928528098413153</v>
      </c>
      <c r="T26" s="197">
        <f>+P26/G26*100-100</f>
        <v>3.7037037037036953</v>
      </c>
      <c r="U26" s="158">
        <f>+R26/I26*100-100</f>
        <v>5.0038223523469725</v>
      </c>
      <c r="W26" s="108">
        <f>+I26-R26</f>
        <v>-98879.84494235646</v>
      </c>
      <c r="Y26" s="113">
        <v>28</v>
      </c>
      <c r="Z26" s="113" t="s">
        <v>7</v>
      </c>
    </row>
    <row r="27" spans="1:26" s="108" customFormat="1" ht="44.25" thickBot="1" x14ac:dyDescent="0.25">
      <c r="A27" s="187">
        <v>2</v>
      </c>
      <c r="B27" s="586" t="s">
        <v>44</v>
      </c>
      <c r="C27" s="167">
        <v>32416378.91814658</v>
      </c>
      <c r="D27" s="167">
        <v>2395391.3769748588</v>
      </c>
      <c r="E27" s="167">
        <v>713342.29125527572</v>
      </c>
      <c r="F27" s="168">
        <f t="shared" si="7"/>
        <v>35525112.586376712</v>
      </c>
      <c r="G27" s="188">
        <v>14</v>
      </c>
      <c r="H27" s="189" t="s">
        <v>1</v>
      </c>
      <c r="I27" s="169">
        <f>+F27/G27</f>
        <v>2537508.0418840507</v>
      </c>
      <c r="J27" s="187">
        <v>2</v>
      </c>
      <c r="K27" s="586" t="s">
        <v>44</v>
      </c>
      <c r="L27" s="167">
        <f>+'ต.5 ถั่ว-สนับสนุนให้ กก หลัก-61'!C25</f>
        <v>27049758.93736165</v>
      </c>
      <c r="M27" s="167">
        <f>+'ต.5 ถั่ว-สนับสนุนให้ กก หลัก-61'!D25</f>
        <v>1961583.584698441</v>
      </c>
      <c r="N27" s="167">
        <f>+'ต.5 ถั่ว-สนับสนุนให้ กก หลัก-61'!E25</f>
        <v>718859.36181869521</v>
      </c>
      <c r="O27" s="168">
        <f t="shared" si="0"/>
        <v>29730201.883878786</v>
      </c>
      <c r="P27" s="188">
        <f>+'ต.5 ถั่ว-สนับสนุนให้ กก หลัก-61'!G25</f>
        <v>13</v>
      </c>
      <c r="Q27" s="189" t="str">
        <f>+'ต.5 ถั่ว-สนับสนุนให้ กก หลัก-61'!H25</f>
        <v>เรื่อง</v>
      </c>
      <c r="R27" s="169">
        <f>+O27/P27</f>
        <v>2286938.6064522145</v>
      </c>
      <c r="S27" s="170">
        <f>+O27/F27*100-100</f>
        <v>-16.312152954921743</v>
      </c>
      <c r="T27" s="171">
        <f>+P27/G27*100-100</f>
        <v>-7.1428571428571388</v>
      </c>
      <c r="U27" s="172">
        <f>+R27/I27*100-100</f>
        <v>-9.8746262591464813</v>
      </c>
      <c r="W27" s="108">
        <f>+I27-R27</f>
        <v>250569.43543183617</v>
      </c>
      <c r="Y27" s="108">
        <v>13</v>
      </c>
      <c r="Z27" s="108" t="s">
        <v>1</v>
      </c>
    </row>
    <row r="28" spans="1:26" s="113" customFormat="1" x14ac:dyDescent="0.2">
      <c r="A28" s="173" t="s">
        <v>92</v>
      </c>
      <c r="B28" s="190"/>
      <c r="C28" s="151">
        <f>SUM(C29:C38)</f>
        <v>84618888.505485103</v>
      </c>
      <c r="D28" s="151">
        <f>SUM(D29:D38)</f>
        <v>5498344.9938579798</v>
      </c>
      <c r="E28" s="151">
        <f>SUM(E29:E38)</f>
        <v>24788806.268065672</v>
      </c>
      <c r="F28" s="151">
        <f t="shared" si="7"/>
        <v>114906039.76740876</v>
      </c>
      <c r="G28" s="152"/>
      <c r="H28" s="153"/>
      <c r="I28" s="154"/>
      <c r="J28" s="173" t="s">
        <v>92</v>
      </c>
      <c r="K28" s="190"/>
      <c r="L28" s="151">
        <f>SUM(L29:L38)</f>
        <v>93910853.798626482</v>
      </c>
      <c r="M28" s="151">
        <f>SUM(M29:M38)</f>
        <v>5091844.5508918548</v>
      </c>
      <c r="N28" s="151">
        <f>SUM(N29:N38)</f>
        <v>22572375.508047454</v>
      </c>
      <c r="O28" s="151">
        <f t="shared" si="0"/>
        <v>121575073.85756579</v>
      </c>
      <c r="P28" s="152"/>
      <c r="Q28" s="153"/>
      <c r="R28" s="154"/>
      <c r="S28" s="155"/>
      <c r="T28" s="156"/>
      <c r="U28" s="157"/>
    </row>
    <row r="29" spans="1:26" s="108" customFormat="1" ht="43.5" x14ac:dyDescent="0.2">
      <c r="A29" s="133">
        <v>1</v>
      </c>
      <c r="B29" s="198" t="s">
        <v>170</v>
      </c>
      <c r="C29" s="481">
        <v>29567683.082797438</v>
      </c>
      <c r="D29" s="481">
        <v>1921241.5233714676</v>
      </c>
      <c r="E29" s="481">
        <v>8661748.9390388038</v>
      </c>
      <c r="F29" s="192">
        <f t="shared" si="7"/>
        <v>40150673.545207709</v>
      </c>
      <c r="G29" s="482">
        <v>50</v>
      </c>
      <c r="H29" s="194" t="s">
        <v>7</v>
      </c>
      <c r="I29" s="195">
        <f t="shared" ref="I29:I38" si="9">+F29/G29</f>
        <v>803013.47090415424</v>
      </c>
      <c r="J29" s="133">
        <v>1</v>
      </c>
      <c r="K29" s="198" t="s">
        <v>170</v>
      </c>
      <c r="L29" s="103">
        <f>+'ต.5 ถั่ว-สนับสนุนให้ กก หลัก-61'!C27</f>
        <v>32814498.183496248</v>
      </c>
      <c r="M29" s="103">
        <f>+'ต.5 ถั่ว-สนับสนุนให้ กก หลัก-61'!D27</f>
        <v>1779201.412907714</v>
      </c>
      <c r="N29" s="103">
        <f>+'ต.5 ถั่ว-สนับสนุนให้ กก หลัก-61'!E27</f>
        <v>7887279.7461122805</v>
      </c>
      <c r="O29" s="192">
        <f t="shared" si="0"/>
        <v>42480979.342516243</v>
      </c>
      <c r="P29" s="193">
        <f>+'ต.5 ถั่ว-สนับสนุนให้ กก หลัก-61'!G27</f>
        <v>50</v>
      </c>
      <c r="Q29" s="193" t="str">
        <f>+'ต.5 ถั่ว-สนับสนุนให้ กก หลัก-61'!H27</f>
        <v>สินค้า</v>
      </c>
      <c r="R29" s="195">
        <f t="shared" ref="R29:R38" si="10">+O29/P29</f>
        <v>849619.58685032488</v>
      </c>
      <c r="S29" s="196">
        <f t="shared" ref="S29:S38" si="11">+O29/F29*100-100</f>
        <v>5.8039021305202425</v>
      </c>
      <c r="T29" s="197">
        <f t="shared" ref="T29:T38" si="12">+P29/G29*100-100</f>
        <v>0</v>
      </c>
      <c r="U29" s="158">
        <f t="shared" ref="U29:U38" si="13">+R29/I29*100-100</f>
        <v>5.8039021305202283</v>
      </c>
      <c r="Y29" s="108">
        <v>50</v>
      </c>
      <c r="Z29" s="108" t="s">
        <v>7</v>
      </c>
    </row>
    <row r="30" spans="1:26" s="113" customFormat="1" ht="65.25" x14ac:dyDescent="0.2">
      <c r="A30" s="159">
        <v>2</v>
      </c>
      <c r="B30" s="129" t="s">
        <v>171</v>
      </c>
      <c r="C30" s="250">
        <v>1611397.7106161905</v>
      </c>
      <c r="D30" s="250">
        <v>104704.99780561904</v>
      </c>
      <c r="E30" s="250">
        <v>472053.30127540056</v>
      </c>
      <c r="F30" s="160">
        <f t="shared" si="7"/>
        <v>2188156.00969721</v>
      </c>
      <c r="G30" s="234">
        <v>10</v>
      </c>
      <c r="H30" s="162" t="s">
        <v>28</v>
      </c>
      <c r="I30" s="163">
        <f t="shared" si="9"/>
        <v>218815.60096972101</v>
      </c>
      <c r="J30" s="159">
        <v>2</v>
      </c>
      <c r="K30" s="129" t="s">
        <v>171</v>
      </c>
      <c r="L30" s="106">
        <f>+'ต.5 ถั่ว-สนับสนุนให้ กก หลัก-61'!C28</f>
        <v>1788344.6295008855</v>
      </c>
      <c r="M30" s="106">
        <f>+'ต.5 ถั่ว-สนับสนุนให้ กก หลัก-61'!D28</f>
        <v>96964.008828700229</v>
      </c>
      <c r="N30" s="106">
        <f>+'ต.5 ถั่ว-สนับสนุนให้ กก หลัก-61'!E28</f>
        <v>429845.80463354674</v>
      </c>
      <c r="O30" s="160">
        <f t="shared" si="0"/>
        <v>2315154.4429631326</v>
      </c>
      <c r="P30" s="193">
        <f>+'ต.5 ถั่ว-สนับสนุนให้ กก หลัก-61'!G28</f>
        <v>10</v>
      </c>
      <c r="Q30" s="193" t="str">
        <f>+'ต.5 ถั่ว-สนับสนุนให้ กก หลัก-61'!H28</f>
        <v>ครั้ง</v>
      </c>
      <c r="R30" s="163">
        <f t="shared" si="10"/>
        <v>231515.44429631328</v>
      </c>
      <c r="S30" s="164">
        <f t="shared" si="11"/>
        <v>5.8039021305202283</v>
      </c>
      <c r="T30" s="165">
        <f t="shared" si="12"/>
        <v>0</v>
      </c>
      <c r="U30" s="166">
        <f t="shared" si="13"/>
        <v>5.8039021305202283</v>
      </c>
      <c r="Y30" s="113">
        <v>10</v>
      </c>
      <c r="Z30" s="113" t="s">
        <v>28</v>
      </c>
    </row>
    <row r="31" spans="1:26" x14ac:dyDescent="0.5">
      <c r="A31" s="159">
        <v>3</v>
      </c>
      <c r="B31" s="199" t="s">
        <v>172</v>
      </c>
      <c r="C31" s="250">
        <v>556664.66366741119</v>
      </c>
      <c r="D31" s="250">
        <v>36170.817423759305</v>
      </c>
      <c r="E31" s="250">
        <v>163072.95862241113</v>
      </c>
      <c r="F31" s="160">
        <f t="shared" si="7"/>
        <v>755908.43971358158</v>
      </c>
      <c r="G31" s="234">
        <v>10</v>
      </c>
      <c r="H31" s="162" t="s">
        <v>28</v>
      </c>
      <c r="I31" s="163">
        <f t="shared" si="9"/>
        <v>75590.843971358161</v>
      </c>
      <c r="J31" s="159">
        <v>3</v>
      </c>
      <c r="K31" s="199" t="s">
        <v>172</v>
      </c>
      <c r="L31" s="106">
        <f>+'ต.5 ถั่ว-สนับสนุนให้ กก หลัก-61'!C29</f>
        <v>617791.78110030596</v>
      </c>
      <c r="M31" s="106">
        <f>+'ต.5 ถั่ว-สนับสนุนให้ กก หลัก-61'!D29</f>
        <v>33496.657595369172</v>
      </c>
      <c r="N31" s="106">
        <f>+'ต.5 ถั่ว-สนับสนุนให้ กก หลัก-61'!E29</f>
        <v>148492.18705522525</v>
      </c>
      <c r="O31" s="160">
        <f t="shared" si="0"/>
        <v>799780.62575090036</v>
      </c>
      <c r="P31" s="193">
        <f>+'ต.5 ถั่ว-สนับสนุนให้ กก หลัก-61'!G29</f>
        <v>10</v>
      </c>
      <c r="Q31" s="193" t="str">
        <f>+'ต.5 ถั่ว-สนับสนุนให้ กก หลัก-61'!H29</f>
        <v>ครั้ง</v>
      </c>
      <c r="R31" s="163">
        <f t="shared" si="10"/>
        <v>79978.062575090036</v>
      </c>
      <c r="S31" s="164">
        <f t="shared" si="11"/>
        <v>5.8039021305202283</v>
      </c>
      <c r="T31" s="165">
        <f t="shared" si="12"/>
        <v>0</v>
      </c>
      <c r="U31" s="166">
        <f t="shared" si="13"/>
        <v>5.8039021305202283</v>
      </c>
      <c r="Y31" s="144">
        <v>10</v>
      </c>
      <c r="Z31" s="144" t="s">
        <v>28</v>
      </c>
    </row>
    <row r="32" spans="1:26" s="108" customFormat="1" ht="43.5" x14ac:dyDescent="0.5">
      <c r="A32" s="128">
        <v>4</v>
      </c>
      <c r="B32" s="1428" t="s">
        <v>173</v>
      </c>
      <c r="C32" s="250">
        <v>11748554.217401678</v>
      </c>
      <c r="D32" s="250">
        <v>763394.62036460428</v>
      </c>
      <c r="E32" s="250">
        <v>3441697.7056624657</v>
      </c>
      <c r="F32" s="160">
        <f t="shared" si="7"/>
        <v>15953646.543428749</v>
      </c>
      <c r="G32" s="234">
        <v>220</v>
      </c>
      <c r="H32" s="162" t="s">
        <v>7</v>
      </c>
      <c r="I32" s="163">
        <f t="shared" si="9"/>
        <v>72516.575197403406</v>
      </c>
      <c r="J32" s="128">
        <v>4</v>
      </c>
      <c r="K32" s="1428" t="s">
        <v>507</v>
      </c>
      <c r="L32" s="106">
        <f>+'ต.5 ถั่ว-สนับสนุนให้ กก หลัก-61'!C30</f>
        <v>13038658.116906453</v>
      </c>
      <c r="M32" s="106">
        <f>+'ต.5 ถั่ว-สนับสนุนให้ กก หลัก-61'!D30</f>
        <v>706955.77346015978</v>
      </c>
      <c r="N32" s="106">
        <f>+'ต.5 ถั่ว-สนับสนุนให้ กก หลัก-61'!E30</f>
        <v>3133966.6846918589</v>
      </c>
      <c r="O32" s="160">
        <f t="shared" si="0"/>
        <v>16879580.575058471</v>
      </c>
      <c r="P32" s="193">
        <f>+'ต.5 ถั่ว-สนับสนุนให้ กก หลัก-61'!G30</f>
        <v>220</v>
      </c>
      <c r="Q32" s="193" t="str">
        <f>+'ต.5 ถั่ว-สนับสนุนให้ กก หลัก-61'!H30</f>
        <v>สินค้า</v>
      </c>
      <c r="R32" s="163">
        <f t="shared" si="10"/>
        <v>76725.366250265783</v>
      </c>
      <c r="S32" s="164">
        <f t="shared" si="11"/>
        <v>5.8039021305201999</v>
      </c>
      <c r="T32" s="165">
        <f t="shared" si="12"/>
        <v>0</v>
      </c>
      <c r="U32" s="166">
        <f t="shared" si="13"/>
        <v>5.8039021305201999</v>
      </c>
      <c r="Y32" s="108">
        <v>220</v>
      </c>
      <c r="Z32" s="108" t="s">
        <v>7</v>
      </c>
    </row>
    <row r="33" spans="1:26" s="108" customFormat="1" ht="43.5" x14ac:dyDescent="0.2">
      <c r="A33" s="128">
        <v>5</v>
      </c>
      <c r="B33" s="129" t="s">
        <v>174</v>
      </c>
      <c r="C33" s="250">
        <v>10430137.908715704</v>
      </c>
      <c r="D33" s="250">
        <v>677726.89488727949</v>
      </c>
      <c r="E33" s="250">
        <v>3055472.2773462287</v>
      </c>
      <c r="F33" s="160">
        <f t="shared" si="7"/>
        <v>14163337.080949213</v>
      </c>
      <c r="G33" s="234">
        <v>6</v>
      </c>
      <c r="H33" s="162" t="s">
        <v>28</v>
      </c>
      <c r="I33" s="163">
        <f t="shared" si="9"/>
        <v>2360556.1801582021</v>
      </c>
      <c r="J33" s="128">
        <v>5</v>
      </c>
      <c r="K33" s="129" t="s">
        <v>174</v>
      </c>
      <c r="L33" s="106">
        <f>+'ต.5 ถั่ว-สนับสนุนให้ กก หลัก-61'!C31</f>
        <v>11575467.056405731</v>
      </c>
      <c r="M33" s="106">
        <f>+'ต.5 ถั่ว-สนับสนุนให้ กก หลัก-61'!D31</f>
        <v>627621.584418496</v>
      </c>
      <c r="N33" s="106">
        <f>+'ต.5 ถั่ว-สนับสนุนให้ กก หลัก-61'!E31</f>
        <v>2782274.6627189568</v>
      </c>
      <c r="O33" s="160">
        <f t="shared" si="0"/>
        <v>14985363.303543184</v>
      </c>
      <c r="P33" s="193">
        <f>+'ต.5 ถั่ว-สนับสนุนให้ กก หลัก-61'!G31</f>
        <v>6</v>
      </c>
      <c r="Q33" s="193" t="str">
        <f>+'ต.5 ถั่ว-สนับสนุนให้ กก หลัก-61'!H31</f>
        <v>ครั้ง</v>
      </c>
      <c r="R33" s="163">
        <f t="shared" si="10"/>
        <v>2497560.5505905305</v>
      </c>
      <c r="S33" s="164">
        <f t="shared" si="11"/>
        <v>5.8039021305202283</v>
      </c>
      <c r="T33" s="165">
        <f t="shared" si="12"/>
        <v>0</v>
      </c>
      <c r="U33" s="166">
        <f t="shared" si="13"/>
        <v>5.8039021305202283</v>
      </c>
      <c r="Y33" s="108">
        <v>6</v>
      </c>
      <c r="Z33" s="108" t="s">
        <v>28</v>
      </c>
    </row>
    <row r="34" spans="1:26" s="108" customFormat="1" x14ac:dyDescent="0.2">
      <c r="A34" s="128">
        <v>6</v>
      </c>
      <c r="B34" s="129" t="s">
        <v>175</v>
      </c>
      <c r="C34" s="250">
        <v>10254349.067557575</v>
      </c>
      <c r="D34" s="250">
        <v>666304.53149030299</v>
      </c>
      <c r="E34" s="250">
        <v>3003975.5535707306</v>
      </c>
      <c r="F34" s="160">
        <f t="shared" si="7"/>
        <v>13924629.152618609</v>
      </c>
      <c r="G34" s="234">
        <v>77</v>
      </c>
      <c r="H34" s="162" t="s">
        <v>8</v>
      </c>
      <c r="I34" s="163">
        <f t="shared" si="9"/>
        <v>180839.33964439752</v>
      </c>
      <c r="J34" s="128">
        <v>6</v>
      </c>
      <c r="K34" s="129" t="s">
        <v>175</v>
      </c>
      <c r="L34" s="106">
        <f>+'ต.5 ถั่ว-สนับสนุนให้ กก หลัก-61'!C32</f>
        <v>11380374.915005635</v>
      </c>
      <c r="M34" s="106">
        <f>+'ต.5 ถั่ว-สนับสนุนให้ กก หลัก-61'!D32</f>
        <v>617043.69254627428</v>
      </c>
      <c r="N34" s="106">
        <f>+'ต.5 ถั่ว-สนับสนุนให้ กก หลัก-61'!E32</f>
        <v>2735382.3931225706</v>
      </c>
      <c r="O34" s="160">
        <f t="shared" si="0"/>
        <v>14732801.000674481</v>
      </c>
      <c r="P34" s="193">
        <f>+'ต.5 ถั่ว-สนับสนุนให้ กก หลัก-61'!G32</f>
        <v>77</v>
      </c>
      <c r="Q34" s="193" t="str">
        <f>+'ต.5 ถั่ว-สนับสนุนให้ กก หลัก-61'!H32</f>
        <v>จังหวัด</v>
      </c>
      <c r="R34" s="163">
        <f t="shared" si="10"/>
        <v>191335.0779308374</v>
      </c>
      <c r="S34" s="164">
        <f t="shared" si="11"/>
        <v>5.8039021305202283</v>
      </c>
      <c r="T34" s="165">
        <f t="shared" si="12"/>
        <v>0</v>
      </c>
      <c r="U34" s="166">
        <f t="shared" si="13"/>
        <v>5.8039021305202283</v>
      </c>
      <c r="Y34" s="108">
        <v>77</v>
      </c>
      <c r="Z34" s="108" t="s">
        <v>8</v>
      </c>
    </row>
    <row r="35" spans="1:26" s="108" customFormat="1" ht="65.25" x14ac:dyDescent="0.2">
      <c r="A35" s="128">
        <v>7</v>
      </c>
      <c r="B35" s="129" t="s">
        <v>339</v>
      </c>
      <c r="C35" s="250">
        <v>7500323.8894135412</v>
      </c>
      <c r="D35" s="250">
        <v>487354.17160433589</v>
      </c>
      <c r="E35" s="250">
        <v>2197193.5477545918</v>
      </c>
      <c r="F35" s="160">
        <f t="shared" si="7"/>
        <v>10184871.60877247</v>
      </c>
      <c r="G35" s="234">
        <v>77</v>
      </c>
      <c r="H35" s="162" t="s">
        <v>8</v>
      </c>
      <c r="I35" s="163">
        <f t="shared" si="9"/>
        <v>132271.05985418792</v>
      </c>
      <c r="J35" s="128">
        <v>7</v>
      </c>
      <c r="K35" s="129" t="s">
        <v>534</v>
      </c>
      <c r="L35" s="106">
        <f>+'ต.5 ถั่ว-สนับสนุนให้ กก หลัก-61'!C33</f>
        <v>8323931.3664041217</v>
      </c>
      <c r="M35" s="106">
        <f>+'ต.5 ถั่ว-สนับสนุนให้ กก หลัก-61'!D33</f>
        <v>451323.386548132</v>
      </c>
      <c r="N35" s="106">
        <f>+'ต.5 ถั่ว-สนับสนุนให้ กก หลัก-61'!E33</f>
        <v>2000736.8361125086</v>
      </c>
      <c r="O35" s="160">
        <f t="shared" si="0"/>
        <v>10775991.589064762</v>
      </c>
      <c r="P35" s="193">
        <f>+'ต.5 ถั่ว-สนับสนุนให้ กก หลัก-61'!G33</f>
        <v>77</v>
      </c>
      <c r="Q35" s="193" t="str">
        <f>+'ต.5 ถั่ว-สนับสนุนให้ กก หลัก-61'!H33</f>
        <v>จังหวัด</v>
      </c>
      <c r="R35" s="163">
        <f t="shared" si="10"/>
        <v>139947.94271512679</v>
      </c>
      <c r="S35" s="164">
        <f t="shared" si="11"/>
        <v>5.8039021305201999</v>
      </c>
      <c r="T35" s="165">
        <f t="shared" si="12"/>
        <v>0</v>
      </c>
      <c r="U35" s="166">
        <f t="shared" si="13"/>
        <v>5.8039021305201999</v>
      </c>
      <c r="Y35" s="108">
        <v>77</v>
      </c>
      <c r="Z35" s="108" t="s">
        <v>8</v>
      </c>
    </row>
    <row r="36" spans="1:26" s="108" customFormat="1" ht="43.5" x14ac:dyDescent="0.2">
      <c r="A36" s="128">
        <v>8</v>
      </c>
      <c r="B36" s="129" t="s">
        <v>176</v>
      </c>
      <c r="C36" s="250">
        <v>10172314.275017116</v>
      </c>
      <c r="D36" s="250">
        <v>660974.0952383806</v>
      </c>
      <c r="E36" s="250">
        <v>2979943.7491421653</v>
      </c>
      <c r="F36" s="160">
        <f t="shared" si="7"/>
        <v>13813232.119397663</v>
      </c>
      <c r="G36" s="234">
        <v>15</v>
      </c>
      <c r="H36" s="162" t="s">
        <v>9</v>
      </c>
      <c r="I36" s="163">
        <f t="shared" si="9"/>
        <v>920882.1412931775</v>
      </c>
      <c r="J36" s="128">
        <v>8</v>
      </c>
      <c r="K36" s="129" t="s">
        <v>176</v>
      </c>
      <c r="L36" s="106">
        <f>+'ต.5 ถั่ว-สนับสนุนให้ กก หลัก-61'!C34</f>
        <v>11289331.915685592</v>
      </c>
      <c r="M36" s="106">
        <f>+'ต.5 ถั่ว-สนับสนุนให้ กก หลัก-61'!D34</f>
        <v>612107.34300590411</v>
      </c>
      <c r="N36" s="106">
        <f>+'ต.5 ถั่ว-สนับสนุนให้ กก หลัก-61'!E34</f>
        <v>2713499.3339775903</v>
      </c>
      <c r="O36" s="160">
        <f t="shared" si="0"/>
        <v>14614938.592669088</v>
      </c>
      <c r="P36" s="193">
        <f>+'ต.5 ถั่ว-สนับสนุนให้ กก หลัก-61'!G34</f>
        <v>15</v>
      </c>
      <c r="Q36" s="193" t="str">
        <f>+'ต.5 ถั่ว-สนับสนุนให้ กก หลัก-61'!H34</f>
        <v>เล่ม</v>
      </c>
      <c r="R36" s="163">
        <f t="shared" si="10"/>
        <v>974329.23951127252</v>
      </c>
      <c r="S36" s="164">
        <f t="shared" si="11"/>
        <v>5.8039021305202283</v>
      </c>
      <c r="T36" s="165">
        <f t="shared" si="12"/>
        <v>0</v>
      </c>
      <c r="U36" s="166">
        <f t="shared" si="13"/>
        <v>5.8039021305202283</v>
      </c>
      <c r="Y36" s="108">
        <v>15</v>
      </c>
      <c r="Z36" s="108" t="s">
        <v>9</v>
      </c>
    </row>
    <row r="37" spans="1:26" s="108" customFormat="1" ht="47.25" customHeight="1" x14ac:dyDescent="0.2">
      <c r="A37" s="128">
        <v>9</v>
      </c>
      <c r="B37" s="129" t="s">
        <v>333</v>
      </c>
      <c r="C37" s="250">
        <v>1283258.5404543479</v>
      </c>
      <c r="D37" s="250">
        <v>83383.252797929337</v>
      </c>
      <c r="E37" s="250">
        <v>375926.08356113714</v>
      </c>
      <c r="F37" s="160">
        <f t="shared" si="7"/>
        <v>1742567.8768134143</v>
      </c>
      <c r="G37" s="234">
        <v>882</v>
      </c>
      <c r="H37" s="162" t="s">
        <v>325</v>
      </c>
      <c r="I37" s="163">
        <f t="shared" si="9"/>
        <v>1975.7005406047781</v>
      </c>
      <c r="J37" s="128">
        <v>9</v>
      </c>
      <c r="K37" s="129" t="s">
        <v>535</v>
      </c>
      <c r="L37" s="106">
        <f>+'ต.5 ถั่ว-สนับสนุนให้ กก หลัก-61'!C35</f>
        <v>1424172.632220705</v>
      </c>
      <c r="M37" s="106">
        <f>+'ต.5 ถั่ว-สนับสนุนให้ กก หลัก-61'!D35</f>
        <v>77218.610667219458</v>
      </c>
      <c r="N37" s="106">
        <f>+'ต.5 ถั่ว-สนับสนุนให้ กก หลัก-61'!E35</f>
        <v>342313.56805362453</v>
      </c>
      <c r="O37" s="160">
        <f t="shared" si="0"/>
        <v>1843704.810941549</v>
      </c>
      <c r="P37" s="193">
        <f>+'ต.5 ถั่ว-สนับสนุนให้ กก หลัก-61'!G35</f>
        <v>882</v>
      </c>
      <c r="Q37" s="193" t="str">
        <f>+'ต.5 ถั่ว-สนับสนุนให้ กก หลัก-61'!H35</f>
        <v>ศูนย์</v>
      </c>
      <c r="R37" s="163">
        <f t="shared" si="10"/>
        <v>2090.3682663736386</v>
      </c>
      <c r="S37" s="164">
        <f t="shared" si="11"/>
        <v>5.8039021305202283</v>
      </c>
      <c r="T37" s="165">
        <f t="shared" si="12"/>
        <v>0</v>
      </c>
      <c r="U37" s="166">
        <f t="shared" si="13"/>
        <v>5.8039021305202283</v>
      </c>
      <c r="Y37" s="108">
        <v>882</v>
      </c>
      <c r="Z37" s="108" t="s">
        <v>325</v>
      </c>
    </row>
    <row r="38" spans="1:26" s="108" customFormat="1" ht="47.25" customHeight="1" thickBot="1" x14ac:dyDescent="0.25">
      <c r="A38" s="187">
        <v>10</v>
      </c>
      <c r="B38" s="586" t="s">
        <v>230</v>
      </c>
      <c r="C38" s="252">
        <v>1494205.1498441035</v>
      </c>
      <c r="D38" s="252">
        <v>97090.088874301277</v>
      </c>
      <c r="E38" s="252">
        <v>437722.15209173504</v>
      </c>
      <c r="F38" s="168">
        <f t="shared" si="7"/>
        <v>2029017.3908101397</v>
      </c>
      <c r="G38" s="253">
        <v>1</v>
      </c>
      <c r="H38" s="189" t="s">
        <v>6</v>
      </c>
      <c r="I38" s="169">
        <f t="shared" si="9"/>
        <v>2029017.3908101397</v>
      </c>
      <c r="J38" s="187">
        <v>10</v>
      </c>
      <c r="K38" s="586" t="s">
        <v>230</v>
      </c>
      <c r="L38" s="167">
        <f>+'ต.5 ถั่ว-สนับสนุนให้ กก หลัก-61'!C36</f>
        <v>1658283.2019008209</v>
      </c>
      <c r="M38" s="167">
        <f>+'ต.5 ถั่ว-สนับสนุนให้ กก หลัก-61'!D36</f>
        <v>89912.080913885657</v>
      </c>
      <c r="N38" s="167">
        <f>+'ต.5 ถั่ว-สนับสนุนให้ กก หลัก-61'!E36</f>
        <v>398584.29156928882</v>
      </c>
      <c r="O38" s="168">
        <f t="shared" si="0"/>
        <v>2146779.5743839955</v>
      </c>
      <c r="P38" s="193">
        <f>+'ต.5 ถั่ว-สนับสนุนให้ กก หลัก-61'!G36</f>
        <v>1</v>
      </c>
      <c r="Q38" s="193" t="str">
        <f>+'ต.5 ถั่ว-สนับสนุนให้ กก หลัก-61'!H36</f>
        <v>ระบบ</v>
      </c>
      <c r="R38" s="169">
        <f t="shared" si="10"/>
        <v>2146779.5743839955</v>
      </c>
      <c r="S38" s="170">
        <f t="shared" si="11"/>
        <v>5.8039021305202425</v>
      </c>
      <c r="T38" s="171">
        <f t="shared" si="12"/>
        <v>0</v>
      </c>
      <c r="U38" s="172">
        <f t="shared" si="13"/>
        <v>5.8039021305202425</v>
      </c>
      <c r="Y38" s="108">
        <v>1</v>
      </c>
      <c r="Z38" s="108" t="s">
        <v>6</v>
      </c>
    </row>
    <row r="39" spans="1:26" s="113" customFormat="1" x14ac:dyDescent="0.2">
      <c r="A39" s="173" t="s">
        <v>93</v>
      </c>
      <c r="B39" s="190"/>
      <c r="C39" s="151">
        <f>SUM(C40:C46)</f>
        <v>52422471.20200564</v>
      </c>
      <c r="D39" s="151">
        <f>SUM(D40:D46)</f>
        <v>4268276.1316762352</v>
      </c>
      <c r="E39" s="151">
        <f>SUM(E40:E46)</f>
        <v>1216773.7500782816</v>
      </c>
      <c r="F39" s="151">
        <f>SUM(F40:F46)</f>
        <v>57907521.083760157</v>
      </c>
      <c r="G39" s="152"/>
      <c r="H39" s="153"/>
      <c r="I39" s="154"/>
      <c r="J39" s="173" t="s">
        <v>93</v>
      </c>
      <c r="K39" s="190"/>
      <c r="L39" s="151">
        <f>SUM(L40:L46)</f>
        <v>56922040.476996183</v>
      </c>
      <c r="M39" s="151">
        <f>SUM(M40:M46)</f>
        <v>4033079.7227274375</v>
      </c>
      <c r="N39" s="151">
        <f>SUM(N40:N46)</f>
        <v>1975644.4350408593</v>
      </c>
      <c r="O39" s="151">
        <f>SUM(L39:N39)</f>
        <v>62930764.634764485</v>
      </c>
      <c r="P39" s="152"/>
      <c r="Q39" s="153"/>
      <c r="R39" s="154"/>
      <c r="S39" s="155"/>
      <c r="T39" s="156"/>
      <c r="U39" s="157"/>
    </row>
    <row r="40" spans="1:26" s="108" customFormat="1" x14ac:dyDescent="0.2">
      <c r="A40" s="133">
        <v>1</v>
      </c>
      <c r="B40" s="200" t="s">
        <v>48</v>
      </c>
      <c r="C40" s="103">
        <v>21639996.112187926</v>
      </c>
      <c r="D40" s="103">
        <v>1761944.3871559501</v>
      </c>
      <c r="E40" s="103">
        <v>502284.20403231471</v>
      </c>
      <c r="F40" s="192">
        <f t="shared" si="7"/>
        <v>23904224.703376189</v>
      </c>
      <c r="G40" s="193">
        <v>23</v>
      </c>
      <c r="H40" s="194" t="s">
        <v>1</v>
      </c>
      <c r="I40" s="195">
        <f t="shared" ref="I40:I46" si="14">+F40/G40</f>
        <v>1039314.1175380952</v>
      </c>
      <c r="J40" s="133">
        <v>1</v>
      </c>
      <c r="K40" s="200" t="s">
        <v>48</v>
      </c>
      <c r="L40" s="103">
        <f>+'ต.5 ถั่ว-สนับสนุนให้ กก หลัก-61'!C38</f>
        <v>23497418.308904029</v>
      </c>
      <c r="M40" s="103">
        <f>+'ต.5 ถั่ว-สนับสนุนให้ กก หลัก-61'!D38</f>
        <v>1664855.3095418862</v>
      </c>
      <c r="N40" s="103">
        <f>+'ต.5 ถั่ว-สนับสนุนให้ กก หลัก-61'!E38</f>
        <v>815546.02278486686</v>
      </c>
      <c r="O40" s="192">
        <f t="shared" si="0"/>
        <v>25977819.641230781</v>
      </c>
      <c r="P40" s="193">
        <f>+'ต.5 ถั่ว-สนับสนุนให้ กก หลัก-61'!G38</f>
        <v>21</v>
      </c>
      <c r="Q40" s="193" t="str">
        <f>+'ต.5 ถั่ว-สนับสนุนให้ กก หลัก-61'!H38</f>
        <v>เรื่อง</v>
      </c>
      <c r="R40" s="195">
        <f t="shared" ref="R40:R46" si="15">+O40/P40</f>
        <v>1237039.030534799</v>
      </c>
      <c r="S40" s="196">
        <f t="shared" ref="S40:S46" si="16">+O40/F40*100-100</f>
        <v>8.674596074901018</v>
      </c>
      <c r="T40" s="197">
        <f t="shared" ref="T40:T46" si="17">+P40/G40*100-100</f>
        <v>-8.6956521739130466</v>
      </c>
      <c r="U40" s="158">
        <f t="shared" ref="U40:U46" si="18">+R40/I40*100-100</f>
        <v>19.024557605843967</v>
      </c>
      <c r="Y40" s="108">
        <v>23</v>
      </c>
      <c r="Z40" s="108" t="s">
        <v>1</v>
      </c>
    </row>
    <row r="41" spans="1:26" s="108" customFormat="1" x14ac:dyDescent="0.2">
      <c r="A41" s="128">
        <v>2</v>
      </c>
      <c r="B41" s="129" t="s">
        <v>49</v>
      </c>
      <c r="C41" s="106">
        <v>15045249.234975617</v>
      </c>
      <c r="D41" s="106">
        <v>1224995.2497910797</v>
      </c>
      <c r="E41" s="106">
        <v>349214.06627246679</v>
      </c>
      <c r="F41" s="160">
        <f t="shared" si="7"/>
        <v>16619458.551039165</v>
      </c>
      <c r="G41" s="161">
        <v>6</v>
      </c>
      <c r="H41" s="162" t="s">
        <v>1</v>
      </c>
      <c r="I41" s="163">
        <f t="shared" si="14"/>
        <v>2769909.7585065276</v>
      </c>
      <c r="J41" s="128">
        <v>2</v>
      </c>
      <c r="K41" s="129" t="s">
        <v>49</v>
      </c>
      <c r="L41" s="106">
        <f>+'ต.5 ถั่ว-สนับสนุนให้ กก หลัก-61'!C39</f>
        <v>16336625.616897907</v>
      </c>
      <c r="M41" s="106">
        <f>+'ต.5 ถั่ว-สนับสนุนให้ กก หลัก-61'!D39</f>
        <v>1157493.8804227747</v>
      </c>
      <c r="N41" s="106">
        <f>+'ต.5 ถั่ว-สนับสนุนให้ กก หลัก-61'!E39</f>
        <v>567009.9528567266</v>
      </c>
      <c r="O41" s="160">
        <f t="shared" si="0"/>
        <v>18061129.450177409</v>
      </c>
      <c r="P41" s="161">
        <f>+'ต.5 ถั่ว-สนับสนุนให้ กก หลัก-61'!G39</f>
        <v>10</v>
      </c>
      <c r="Q41" s="161" t="str">
        <f>+'ต.5 ถั่ว-สนับสนุนให้ กก หลัก-61'!H39</f>
        <v>เรื่อง</v>
      </c>
      <c r="R41" s="163">
        <f t="shared" si="15"/>
        <v>1806112.9450177408</v>
      </c>
      <c r="S41" s="164">
        <f t="shared" si="16"/>
        <v>8.674596074901018</v>
      </c>
      <c r="T41" s="165">
        <f t="shared" si="17"/>
        <v>66.666666666666686</v>
      </c>
      <c r="U41" s="166">
        <f t="shared" si="18"/>
        <v>-34.795242355059401</v>
      </c>
      <c r="Y41" s="108">
        <v>6</v>
      </c>
      <c r="Z41" s="108" t="s">
        <v>1</v>
      </c>
    </row>
    <row r="42" spans="1:26" s="108" customFormat="1" x14ac:dyDescent="0.2">
      <c r="A42" s="128">
        <v>3</v>
      </c>
      <c r="B42" s="129" t="s">
        <v>50</v>
      </c>
      <c r="C42" s="106">
        <v>4707537.9139401074</v>
      </c>
      <c r="D42" s="106">
        <v>383291.196624526</v>
      </c>
      <c r="E42" s="106">
        <v>109266.28275702969</v>
      </c>
      <c r="F42" s="160">
        <f t="shared" si="7"/>
        <v>5200095.3933216631</v>
      </c>
      <c r="G42" s="161">
        <v>3</v>
      </c>
      <c r="H42" s="162" t="s">
        <v>1</v>
      </c>
      <c r="I42" s="163">
        <f t="shared" si="14"/>
        <v>1733365.1311072211</v>
      </c>
      <c r="J42" s="128">
        <v>3</v>
      </c>
      <c r="K42" s="129" t="s">
        <v>50</v>
      </c>
      <c r="L42" s="106">
        <f>+'ต.5 ถั่ว-สนับสนุนให้ กก หลัก-61'!C40</f>
        <v>5111599.2348342575</v>
      </c>
      <c r="M42" s="106">
        <f>+'ต.5 ถั่ว-สนับสนุนให้ กก หลัก-61'!D40</f>
        <v>362170.55910092394</v>
      </c>
      <c r="N42" s="106">
        <f>+'ต.5 ถั่ว-สนับสนุนให้ กก หลัก-61'!E40</f>
        <v>177412.8702666692</v>
      </c>
      <c r="O42" s="160">
        <f t="shared" si="0"/>
        <v>5651182.664201851</v>
      </c>
      <c r="P42" s="161">
        <f>+'ต.5 ถั่ว-สนับสนุนให้ กก หลัก-61'!G40</f>
        <v>3</v>
      </c>
      <c r="Q42" s="161" t="str">
        <f>+'ต.5 ถั่ว-สนับสนุนให้ กก หลัก-61'!H40</f>
        <v>เรื่อง</v>
      </c>
      <c r="R42" s="163">
        <f t="shared" si="15"/>
        <v>1883727.5547339504</v>
      </c>
      <c r="S42" s="164">
        <f t="shared" si="16"/>
        <v>8.6745960749009754</v>
      </c>
      <c r="T42" s="165">
        <f t="shared" si="17"/>
        <v>0</v>
      </c>
      <c r="U42" s="166">
        <f t="shared" si="18"/>
        <v>8.6745960749009754</v>
      </c>
      <c r="Y42" s="108">
        <v>3</v>
      </c>
      <c r="Z42" s="108" t="s">
        <v>1</v>
      </c>
    </row>
    <row r="43" spans="1:26" s="108" customFormat="1" ht="43.5" x14ac:dyDescent="0.2">
      <c r="A43" s="128">
        <v>4</v>
      </c>
      <c r="B43" s="129" t="s">
        <v>209</v>
      </c>
      <c r="C43" s="106">
        <v>4697053.4196997061</v>
      </c>
      <c r="D43" s="106">
        <v>382437.54139819072</v>
      </c>
      <c r="E43" s="106">
        <v>109022.92800701404</v>
      </c>
      <c r="F43" s="160">
        <f t="shared" si="7"/>
        <v>5188513.8891049111</v>
      </c>
      <c r="G43" s="161">
        <v>3</v>
      </c>
      <c r="H43" s="162" t="s">
        <v>1</v>
      </c>
      <c r="I43" s="163">
        <f t="shared" si="14"/>
        <v>1729504.629701637</v>
      </c>
      <c r="J43" s="128">
        <v>4</v>
      </c>
      <c r="K43" s="129" t="s">
        <v>209</v>
      </c>
      <c r="L43" s="106">
        <f>+'ต.5 ถั่ว-สนับสนุนให้ กก หลัก-61'!C41</f>
        <v>5100214.8267388595</v>
      </c>
      <c r="M43" s="106">
        <f>+'ต.5 ถั่ว-สนับสนุนให้ กก หลัก-61'!D41</f>
        <v>361363.94315637846</v>
      </c>
      <c r="N43" s="106">
        <f>+'ต.5 ถั่ว-สนับสนุนให้ กก หลัก-61'!E41</f>
        <v>177017.74137966102</v>
      </c>
      <c r="O43" s="160">
        <f t="shared" si="0"/>
        <v>5638596.5112748984</v>
      </c>
      <c r="P43" s="161">
        <f>+'ต.5 ถั่ว-สนับสนุนให้ กก หลัก-61'!G41</f>
        <v>3</v>
      </c>
      <c r="Q43" s="161" t="str">
        <f>+'ต.5 ถั่ว-สนับสนุนให้ กก หลัก-61'!H41</f>
        <v>เรื่อง</v>
      </c>
      <c r="R43" s="163">
        <f t="shared" si="15"/>
        <v>1879532.1704249661</v>
      </c>
      <c r="S43" s="164">
        <f t="shared" si="16"/>
        <v>8.6745960749010038</v>
      </c>
      <c r="T43" s="165">
        <f t="shared" si="17"/>
        <v>0</v>
      </c>
      <c r="U43" s="166">
        <f t="shared" si="18"/>
        <v>8.6745960749010038</v>
      </c>
      <c r="Y43" s="108">
        <v>3</v>
      </c>
      <c r="Z43" s="108" t="s">
        <v>1</v>
      </c>
    </row>
    <row r="44" spans="1:26" s="108" customFormat="1" ht="43.5" x14ac:dyDescent="0.2">
      <c r="A44" s="128">
        <v>5</v>
      </c>
      <c r="B44" s="129" t="s">
        <v>313</v>
      </c>
      <c r="C44" s="106">
        <v>4204282.1904008519</v>
      </c>
      <c r="D44" s="106">
        <v>342315.74576043407</v>
      </c>
      <c r="E44" s="106">
        <v>97585.254756278184</v>
      </c>
      <c r="F44" s="160">
        <f t="shared" si="7"/>
        <v>4644183.1909175646</v>
      </c>
      <c r="G44" s="161">
        <v>1</v>
      </c>
      <c r="H44" s="162" t="s">
        <v>1</v>
      </c>
      <c r="I44" s="163">
        <f t="shared" si="14"/>
        <v>4644183.1909175646</v>
      </c>
      <c r="J44" s="128">
        <v>5</v>
      </c>
      <c r="K44" s="1429" t="s">
        <v>532</v>
      </c>
      <c r="L44" s="106">
        <f>+'ต.5 ถั่ว-สนับสนุนให้ กก หลัก-61'!C42</f>
        <v>4565147.6462550946</v>
      </c>
      <c r="M44" s="106">
        <f>+'ต.5 ถั่ว-สนับสนุนให้ กก หลัก-61'!D42</f>
        <v>323452.99376274052</v>
      </c>
      <c r="N44" s="106">
        <f>+'ต.5 ถั่ว-สนับสนุนให้ กก หลัก-61'!E42</f>
        <v>158446.68369027693</v>
      </c>
      <c r="O44" s="160">
        <f t="shared" si="0"/>
        <v>5047047.3237081124</v>
      </c>
      <c r="P44" s="161">
        <f>+'ต.5 ถั่ว-สนับสนุนให้ กก หลัก-61'!G42</f>
        <v>1</v>
      </c>
      <c r="Q44" s="161" t="str">
        <f>+'ต.5 ถั่ว-สนับสนุนให้ กก หลัก-61'!H42</f>
        <v>เรื่อง</v>
      </c>
      <c r="R44" s="163">
        <f t="shared" si="15"/>
        <v>5047047.3237081124</v>
      </c>
      <c r="S44" s="164">
        <f t="shared" si="16"/>
        <v>8.674596074901018</v>
      </c>
      <c r="T44" s="165">
        <f t="shared" si="17"/>
        <v>0</v>
      </c>
      <c r="U44" s="166">
        <f t="shared" si="18"/>
        <v>8.674596074901018</v>
      </c>
      <c r="Y44" s="108">
        <v>1</v>
      </c>
      <c r="Z44" s="108" t="s">
        <v>1</v>
      </c>
    </row>
    <row r="45" spans="1:26" s="108" customFormat="1" ht="65.25" x14ac:dyDescent="0.2">
      <c r="A45" s="128">
        <v>6</v>
      </c>
      <c r="B45" s="129" t="s">
        <v>314</v>
      </c>
      <c r="C45" s="106">
        <v>1064176.1654007144</v>
      </c>
      <c r="D45" s="106">
        <v>86646.005473027573</v>
      </c>
      <c r="E45" s="106">
        <v>24700.507126589117</v>
      </c>
      <c r="F45" s="160">
        <f t="shared" si="7"/>
        <v>1175522.6780003309</v>
      </c>
      <c r="G45" s="161">
        <v>1</v>
      </c>
      <c r="H45" s="162" t="s">
        <v>1</v>
      </c>
      <c r="I45" s="163">
        <f t="shared" si="14"/>
        <v>1175522.6780003309</v>
      </c>
      <c r="J45" s="128">
        <v>6</v>
      </c>
      <c r="K45" s="1429" t="s">
        <v>533</v>
      </c>
      <c r="L45" s="106">
        <f>+'ต.5 ถั่ว-สนับสนุนให้ กก หลัก-61'!C43</f>
        <v>1155517.4216830228</v>
      </c>
      <c r="M45" s="106">
        <f>+'ต.5 ถั่ว-สนับสนุนให้ กก หลัก-61'!D43</f>
        <v>81871.518371366983</v>
      </c>
      <c r="N45" s="106">
        <f>+'ต.5 ถั่ว-สนับสนุนให้ กก หลัก-61'!E43</f>
        <v>40105.582031329439</v>
      </c>
      <c r="O45" s="160">
        <f t="shared" si="0"/>
        <v>1277494.522085719</v>
      </c>
      <c r="P45" s="161">
        <f>+'ต.5 ถั่ว-สนับสนุนให้ กก หลัก-61'!G43</f>
        <v>1</v>
      </c>
      <c r="Q45" s="161" t="str">
        <f>+'ต.5 ถั่ว-สนับสนุนให้ กก หลัก-61'!H43</f>
        <v>เรื่อง</v>
      </c>
      <c r="R45" s="163">
        <f t="shared" si="15"/>
        <v>1277494.522085719</v>
      </c>
      <c r="S45" s="164">
        <f t="shared" si="16"/>
        <v>8.674596074901018</v>
      </c>
      <c r="T45" s="165">
        <f t="shared" si="17"/>
        <v>0</v>
      </c>
      <c r="U45" s="166">
        <f t="shared" si="18"/>
        <v>8.674596074901018</v>
      </c>
      <c r="Y45" s="108">
        <v>1</v>
      </c>
      <c r="Z45" s="108" t="s">
        <v>1</v>
      </c>
    </row>
    <row r="46" spans="1:26" s="108" customFormat="1" ht="44.25" thickBot="1" x14ac:dyDescent="0.25">
      <c r="A46" s="187">
        <v>7</v>
      </c>
      <c r="B46" s="586" t="s">
        <v>315</v>
      </c>
      <c r="C46" s="167">
        <v>1064176.1654007144</v>
      </c>
      <c r="D46" s="167">
        <v>86646.005473027573</v>
      </c>
      <c r="E46" s="167">
        <v>24700.507126589117</v>
      </c>
      <c r="F46" s="168">
        <f t="shared" si="7"/>
        <v>1175522.6780003309</v>
      </c>
      <c r="G46" s="188">
        <v>1</v>
      </c>
      <c r="H46" s="189" t="s">
        <v>1</v>
      </c>
      <c r="I46" s="169">
        <f t="shared" si="14"/>
        <v>1175522.6780003309</v>
      </c>
      <c r="J46" s="187">
        <v>7</v>
      </c>
      <c r="K46" s="1430" t="s">
        <v>489</v>
      </c>
      <c r="L46" s="167">
        <f>+'ต.5 ถั่ว-สนับสนุนให้ กก หลัก-61'!C44</f>
        <v>1155517.4216830228</v>
      </c>
      <c r="M46" s="167">
        <f>+'ต.5 ถั่ว-สนับสนุนให้ กก หลัก-61'!D44</f>
        <v>81871.518371366983</v>
      </c>
      <c r="N46" s="167">
        <f>+'ต.5 ถั่ว-สนับสนุนให้ กก หลัก-61'!E44</f>
        <v>40105.582031329439</v>
      </c>
      <c r="O46" s="168">
        <f t="shared" si="0"/>
        <v>1277494.522085719</v>
      </c>
      <c r="P46" s="188">
        <f>+'ต.5 ถั่ว-สนับสนุนให้ กก หลัก-61'!G44</f>
        <v>1</v>
      </c>
      <c r="Q46" s="188" t="str">
        <f>+'ต.5 ถั่ว-สนับสนุนให้ กก หลัก-61'!H44</f>
        <v>เรื่อง</v>
      </c>
      <c r="R46" s="169">
        <f t="shared" si="15"/>
        <v>1277494.522085719</v>
      </c>
      <c r="S46" s="170">
        <f t="shared" si="16"/>
        <v>8.674596074901018</v>
      </c>
      <c r="T46" s="171">
        <f t="shared" si="17"/>
        <v>0</v>
      </c>
      <c r="U46" s="172">
        <f t="shared" si="18"/>
        <v>8.674596074901018</v>
      </c>
      <c r="Y46" s="108">
        <v>1</v>
      </c>
      <c r="Z46" s="108" t="s">
        <v>1</v>
      </c>
    </row>
    <row r="47" spans="1:26" s="113" customFormat="1" x14ac:dyDescent="0.2">
      <c r="A47" s="173" t="s">
        <v>196</v>
      </c>
      <c r="B47" s="174"/>
      <c r="C47" s="151">
        <f>SUM(C48:C51)</f>
        <v>256230356.34904385</v>
      </c>
      <c r="D47" s="151">
        <f>SUM(D48:D51)</f>
        <v>17827586.329358399</v>
      </c>
      <c r="E47" s="151">
        <f>SUM(E48:E51)</f>
        <v>12399398.995578751</v>
      </c>
      <c r="F47" s="151">
        <f t="shared" ref="F47:F52" si="19">SUM(C47:E47)</f>
        <v>286457341.67398101</v>
      </c>
      <c r="G47" s="152"/>
      <c r="H47" s="153"/>
      <c r="I47" s="154"/>
      <c r="J47" s="173" t="s">
        <v>253</v>
      </c>
      <c r="K47" s="174"/>
      <c r="L47" s="151">
        <f>SUM(L48:L51)</f>
        <v>269112732.21040344</v>
      </c>
      <c r="M47" s="151">
        <f>SUM(M48:M51)</f>
        <v>19272973.259043463</v>
      </c>
      <c r="N47" s="151">
        <f>SUM(N48:N51)</f>
        <v>14509626.761587029</v>
      </c>
      <c r="O47" s="151">
        <f t="shared" si="0"/>
        <v>302895332.23103392</v>
      </c>
      <c r="P47" s="152"/>
      <c r="Q47" s="153"/>
      <c r="R47" s="154"/>
      <c r="S47" s="155"/>
      <c r="T47" s="156"/>
      <c r="U47" s="157"/>
    </row>
    <row r="48" spans="1:26" s="108" customFormat="1" ht="65.25" x14ac:dyDescent="0.2">
      <c r="A48" s="133">
        <v>1</v>
      </c>
      <c r="B48" s="200" t="s">
        <v>51</v>
      </c>
      <c r="C48" s="103">
        <v>38434553.452356577</v>
      </c>
      <c r="D48" s="103">
        <v>2674137.9494037596</v>
      </c>
      <c r="E48" s="103">
        <v>1859909.8493368127</v>
      </c>
      <c r="F48" s="192">
        <f t="shared" si="19"/>
        <v>42968601.25109715</v>
      </c>
      <c r="G48" s="193">
        <v>18</v>
      </c>
      <c r="H48" s="194" t="s">
        <v>1</v>
      </c>
      <c r="I48" s="195">
        <f>+F48/G48</f>
        <v>2387144.5139498417</v>
      </c>
      <c r="J48" s="133">
        <v>1</v>
      </c>
      <c r="K48" s="200" t="s">
        <v>51</v>
      </c>
      <c r="L48" s="103">
        <f>+'ต.5 ถั่ว-สนับสนุนให้ กก หลัก-61'!C46</f>
        <v>40366909.831560522</v>
      </c>
      <c r="M48" s="103">
        <f>+'ต.5 ถั่ว-สนับสนุนให้ กก หลัก-61'!D46</f>
        <v>2890945.9888565191</v>
      </c>
      <c r="N48" s="103">
        <f>+'ต.5 ถั่ว-สนับสนุนให้ กก หลัก-61'!E46</f>
        <v>2176444.0142380544</v>
      </c>
      <c r="O48" s="192">
        <f t="shared" si="0"/>
        <v>45434299.834655091</v>
      </c>
      <c r="P48" s="193">
        <f>+'ต.5 ถั่ว-สนับสนุนให้ กก หลัก-61'!G46</f>
        <v>18</v>
      </c>
      <c r="Q48" s="193" t="str">
        <f>+'ต.5 ถั่ว-สนับสนุนให้ กก หลัก-61'!H46</f>
        <v>เรื่อง</v>
      </c>
      <c r="R48" s="195">
        <f>+O48/P48</f>
        <v>2524127.7685919497</v>
      </c>
      <c r="S48" s="196">
        <f t="shared" ref="S48:T51" si="20">+O48/F48*100-100</f>
        <v>5.7383729322466195</v>
      </c>
      <c r="T48" s="197">
        <f t="shared" si="20"/>
        <v>0</v>
      </c>
      <c r="U48" s="158">
        <f>+R48/I48*100-100</f>
        <v>5.7383729322466195</v>
      </c>
      <c r="Y48" s="108">
        <v>18</v>
      </c>
      <c r="Z48" s="108" t="s">
        <v>1</v>
      </c>
    </row>
    <row r="49" spans="1:26" s="108" customFormat="1" ht="65.25" x14ac:dyDescent="0.2">
      <c r="A49" s="128">
        <v>2</v>
      </c>
      <c r="B49" s="129" t="s">
        <v>52</v>
      </c>
      <c r="C49" s="106">
        <v>25623035.634904392</v>
      </c>
      <c r="D49" s="106">
        <v>1782758.6329358399</v>
      </c>
      <c r="E49" s="106">
        <v>1239939.8995578752</v>
      </c>
      <c r="F49" s="160">
        <f t="shared" si="19"/>
        <v>28645734.167398106</v>
      </c>
      <c r="G49" s="161">
        <v>12</v>
      </c>
      <c r="H49" s="162" t="s">
        <v>1</v>
      </c>
      <c r="I49" s="163">
        <f>+F49/G49</f>
        <v>2387144.5139498422</v>
      </c>
      <c r="J49" s="128">
        <v>2</v>
      </c>
      <c r="K49" s="129" t="s">
        <v>52</v>
      </c>
      <c r="L49" s="106">
        <f>+'ต.5 ถั่ว-สนับสนุนให้ กก หลัก-61'!C47</f>
        <v>26911273.221040346</v>
      </c>
      <c r="M49" s="106">
        <f>+'ต.5 ถั่ว-สนับสนุนให้ กก หลัก-61'!D47</f>
        <v>1927297.3259043461</v>
      </c>
      <c r="N49" s="106">
        <f>+'ต.5 ถั่ว-สนับสนุนให้ กก หลัก-61'!E47</f>
        <v>1450962.6761587027</v>
      </c>
      <c r="O49" s="160">
        <f t="shared" si="0"/>
        <v>30289533.223103397</v>
      </c>
      <c r="P49" s="193">
        <f>+'ต.5 ถั่ว-สนับสนุนให้ กก หลัก-61'!G47</f>
        <v>12</v>
      </c>
      <c r="Q49" s="193" t="str">
        <f>+'ต.5 ถั่ว-สนับสนุนให้ กก หลัก-61'!H47</f>
        <v>เรื่อง</v>
      </c>
      <c r="R49" s="163">
        <f>+O49/P49</f>
        <v>2524127.7685919497</v>
      </c>
      <c r="S49" s="164">
        <f t="shared" si="20"/>
        <v>5.7383729322466195</v>
      </c>
      <c r="T49" s="165">
        <f t="shared" si="20"/>
        <v>0</v>
      </c>
      <c r="U49" s="166">
        <f>+R49/I49*100-100</f>
        <v>5.7383729322466195</v>
      </c>
      <c r="Y49" s="108">
        <v>12</v>
      </c>
      <c r="Z49" s="108" t="s">
        <v>1</v>
      </c>
    </row>
    <row r="50" spans="1:26" s="108" customFormat="1" ht="43.5" x14ac:dyDescent="0.2">
      <c r="A50" s="128">
        <v>3</v>
      </c>
      <c r="B50" s="129" t="s">
        <v>53</v>
      </c>
      <c r="C50" s="106">
        <v>153738213.80942631</v>
      </c>
      <c r="D50" s="106">
        <v>10696551.797615038</v>
      </c>
      <c r="E50" s="106">
        <v>7439639.397347251</v>
      </c>
      <c r="F50" s="160">
        <f t="shared" si="19"/>
        <v>171874405.0043886</v>
      </c>
      <c r="G50" s="161">
        <v>5</v>
      </c>
      <c r="H50" s="162" t="s">
        <v>6</v>
      </c>
      <c r="I50" s="163">
        <f>+F50/G50</f>
        <v>34374881.000877723</v>
      </c>
      <c r="J50" s="128">
        <v>3</v>
      </c>
      <c r="K50" s="129" t="s">
        <v>53</v>
      </c>
      <c r="L50" s="106">
        <f>+'ต.5 ถั่ว-สนับสนุนให้ กก หลัก-61'!C48</f>
        <v>161467639.32624209</v>
      </c>
      <c r="M50" s="106">
        <f>+'ต.5 ถั่ว-สนับสนุนให้ กก หลัก-61'!D48</f>
        <v>11563783.955426076</v>
      </c>
      <c r="N50" s="106">
        <f>+'ต.5 ถั่ว-สนับสนุนให้ กก หลัก-61'!E48</f>
        <v>8705776.0569522176</v>
      </c>
      <c r="O50" s="160">
        <f t="shared" si="0"/>
        <v>181737199.33862036</v>
      </c>
      <c r="P50" s="193">
        <f>+'ต.5 ถั่ว-สนับสนุนให้ กก หลัก-61'!G48</f>
        <v>5</v>
      </c>
      <c r="Q50" s="193" t="str">
        <f>+'ต.5 ถั่ว-สนับสนุนให้ กก หลัก-61'!H48</f>
        <v>ระบบ</v>
      </c>
      <c r="R50" s="163">
        <f>+O50/P50</f>
        <v>36347439.867724076</v>
      </c>
      <c r="S50" s="164">
        <f t="shared" si="20"/>
        <v>5.7383729322466195</v>
      </c>
      <c r="T50" s="165">
        <f t="shared" si="20"/>
        <v>0</v>
      </c>
      <c r="U50" s="166">
        <f>+R50/I50*100-100</f>
        <v>5.7383729322466195</v>
      </c>
      <c r="Y50" s="108">
        <v>5</v>
      </c>
      <c r="Z50" s="108" t="s">
        <v>6</v>
      </c>
    </row>
    <row r="51" spans="1:26" s="108" customFormat="1" ht="65.25" x14ac:dyDescent="0.2">
      <c r="A51" s="201">
        <v>4</v>
      </c>
      <c r="B51" s="202" t="s">
        <v>54</v>
      </c>
      <c r="C51" s="203">
        <v>38434553.452356577</v>
      </c>
      <c r="D51" s="203">
        <v>2674137.9494037596</v>
      </c>
      <c r="E51" s="203">
        <v>1859909.8493368127</v>
      </c>
      <c r="F51" s="204">
        <f t="shared" si="19"/>
        <v>42968601.25109715</v>
      </c>
      <c r="G51" s="205">
        <v>36</v>
      </c>
      <c r="H51" s="691" t="s">
        <v>1</v>
      </c>
      <c r="I51" s="206">
        <f>+F51/G51</f>
        <v>1193572.2569749209</v>
      </c>
      <c r="J51" s="201">
        <v>4</v>
      </c>
      <c r="K51" s="202" t="s">
        <v>54</v>
      </c>
      <c r="L51" s="203">
        <f>+'ต.5 ถั่ว-สนับสนุนให้ กก หลัก-61'!C49</f>
        <v>40366909.831560522</v>
      </c>
      <c r="M51" s="203">
        <f>+'ต.5 ถั่ว-สนับสนุนให้ กก หลัก-61'!D49</f>
        <v>2890945.9888565191</v>
      </c>
      <c r="N51" s="203">
        <f>+'ต.5 ถั่ว-สนับสนุนให้ กก หลัก-61'!E49</f>
        <v>2176444.0142380544</v>
      </c>
      <c r="O51" s="204">
        <f t="shared" si="0"/>
        <v>45434299.834655091</v>
      </c>
      <c r="P51" s="193">
        <f>+'ต.5 ถั่ว-สนับสนุนให้ กก หลัก-61'!G49</f>
        <v>36</v>
      </c>
      <c r="Q51" s="193" t="str">
        <f>+'ต.5 ถั่ว-สนับสนุนให้ กก หลัก-61'!H49</f>
        <v>เรื่อง</v>
      </c>
      <c r="R51" s="206">
        <f>+O51/P51</f>
        <v>1262063.8842959749</v>
      </c>
      <c r="S51" s="207">
        <f t="shared" si="20"/>
        <v>5.7383729322466195</v>
      </c>
      <c r="T51" s="208">
        <f t="shared" si="20"/>
        <v>0</v>
      </c>
      <c r="U51" s="209">
        <f>+R51/I51*100-100</f>
        <v>5.7383729322466195</v>
      </c>
      <c r="Y51" s="108">
        <v>36</v>
      </c>
      <c r="Z51" s="108" t="s">
        <v>1</v>
      </c>
    </row>
    <row r="52" spans="1:26" s="218" customFormat="1" ht="22.5" thickBot="1" x14ac:dyDescent="0.55000000000000004">
      <c r="A52" s="569" t="s">
        <v>71</v>
      </c>
      <c r="B52" s="570"/>
      <c r="C52" s="211">
        <f>+C47+C39+C28+C25+C19+C17+C5</f>
        <v>556040229.70999992</v>
      </c>
      <c r="D52" s="211">
        <f>+D47+D39+D28+D25+D19+D17+D5</f>
        <v>40958414.041937321</v>
      </c>
      <c r="E52" s="211">
        <f>+E47+E39+E28+E25+E19+E17+E5</f>
        <v>42438557.740000002</v>
      </c>
      <c r="F52" s="211">
        <f t="shared" si="19"/>
        <v>639437201.49193728</v>
      </c>
      <c r="G52" s="212"/>
      <c r="H52" s="213"/>
      <c r="I52" s="214"/>
      <c r="J52" s="210" t="s">
        <v>71</v>
      </c>
      <c r="K52" s="211"/>
      <c r="L52" s="211">
        <f>+L47+L39+L28+L25+L19+L17+L5</f>
        <v>577020617.50999999</v>
      </c>
      <c r="M52" s="211">
        <f>+M47+M39+M28+M25+M19+M17+M5</f>
        <v>41360637.720000006</v>
      </c>
      <c r="N52" s="211">
        <f>+N47+N39+N28+N25+N19+N17+N5</f>
        <v>43873491.26000002</v>
      </c>
      <c r="O52" s="211">
        <f t="shared" si="0"/>
        <v>662254746.49000001</v>
      </c>
      <c r="P52" s="212"/>
      <c r="Q52" s="213"/>
      <c r="R52" s="214"/>
      <c r="S52" s="215"/>
      <c r="T52" s="216"/>
      <c r="U52" s="217"/>
    </row>
    <row r="53" spans="1:26" ht="22.5" thickTop="1" x14ac:dyDescent="0.5">
      <c r="A53" s="108"/>
      <c r="B53" s="108"/>
      <c r="C53" s="219">
        <v>556040229.70999992</v>
      </c>
      <c r="D53" s="219">
        <v>40958414.041937321</v>
      </c>
      <c r="E53" s="219">
        <v>42438557.740000002</v>
      </c>
      <c r="F53" s="219">
        <v>639437201.49193728</v>
      </c>
      <c r="G53" s="144"/>
      <c r="J53" s="108"/>
      <c r="K53" s="108"/>
      <c r="L53" s="219">
        <v>577020617.50999999</v>
      </c>
      <c r="M53" s="219">
        <v>41360637.720000006</v>
      </c>
      <c r="N53" s="219">
        <v>43873491.26000002</v>
      </c>
      <c r="O53" s="219">
        <v>662254746.49000001</v>
      </c>
      <c r="P53" s="221"/>
    </row>
    <row r="54" spans="1:26" x14ac:dyDescent="0.5">
      <c r="C54" s="219">
        <f>+C52-C53</f>
        <v>0</v>
      </c>
      <c r="D54" s="219">
        <f>+D52-D53</f>
        <v>0</v>
      </c>
      <c r="E54" s="219">
        <f>+E52-E53</f>
        <v>0</v>
      </c>
      <c r="F54" s="219">
        <f>+F52-F53</f>
        <v>0</v>
      </c>
      <c r="G54" s="144"/>
      <c r="L54" s="221">
        <f>+L52-L53</f>
        <v>0</v>
      </c>
      <c r="M54" s="221">
        <f>+M52-M53</f>
        <v>0</v>
      </c>
      <c r="N54" s="221">
        <f>+N52-N53</f>
        <v>0</v>
      </c>
      <c r="O54" s="221">
        <f>+O52-O53</f>
        <v>0</v>
      </c>
      <c r="P54" s="224"/>
    </row>
    <row r="55" spans="1:26" x14ac:dyDescent="0.5">
      <c r="F55" s="219"/>
      <c r="G55" s="144"/>
      <c r="N55" s="98" t="s">
        <v>184</v>
      </c>
      <c r="O55" s="98"/>
    </row>
    <row r="56" spans="1:26" x14ac:dyDescent="0.5">
      <c r="F56" s="225"/>
      <c r="G56" s="144"/>
      <c r="P56" s="225"/>
    </row>
    <row r="57" spans="1:26" x14ac:dyDescent="0.5">
      <c r="G57" s="144"/>
      <c r="L57" s="225"/>
      <c r="M57" s="225"/>
      <c r="N57" s="225"/>
      <c r="O57" s="225"/>
      <c r="P57" s="225"/>
      <c r="S57" s="225">
        <f>+O5+O17+O19+O25+O28+O39+O47</f>
        <v>662254746.49000001</v>
      </c>
    </row>
    <row r="58" spans="1:26" x14ac:dyDescent="0.5">
      <c r="G58" s="144"/>
    </row>
    <row r="59" spans="1:26" x14ac:dyDescent="0.5">
      <c r="G59" s="144"/>
      <c r="L59" s="225"/>
      <c r="M59" s="225"/>
      <c r="N59" s="225"/>
      <c r="O59" s="225"/>
      <c r="P59" s="225"/>
    </row>
    <row r="60" spans="1:26" x14ac:dyDescent="0.5">
      <c r="G60" s="144"/>
      <c r="S60" s="226">
        <f>+O5+O17+O19+O25+O28+O39+O47</f>
        <v>662254746.49000001</v>
      </c>
    </row>
    <row r="61" spans="1:26" x14ac:dyDescent="0.5">
      <c r="G61" s="144"/>
    </row>
    <row r="62" spans="1:26" x14ac:dyDescent="0.5">
      <c r="G62" s="144"/>
    </row>
    <row r="63" spans="1:26" x14ac:dyDescent="0.5">
      <c r="G63" s="144"/>
    </row>
    <row r="64" spans="1:26" x14ac:dyDescent="0.5">
      <c r="G64" s="144"/>
    </row>
    <row r="65" spans="7:7" x14ac:dyDescent="0.5">
      <c r="G65" s="144"/>
    </row>
    <row r="66" spans="7:7" x14ac:dyDescent="0.5">
      <c r="G66" s="144"/>
    </row>
    <row r="67" spans="7:7" x14ac:dyDescent="0.5">
      <c r="G67" s="144"/>
    </row>
    <row r="68" spans="7:7" x14ac:dyDescent="0.5">
      <c r="G68" s="144"/>
    </row>
    <row r="69" spans="7:7" x14ac:dyDescent="0.5">
      <c r="G69" s="144"/>
    </row>
    <row r="70" spans="7:7" x14ac:dyDescent="0.5">
      <c r="G70" s="144"/>
    </row>
    <row r="71" spans="7:7" x14ac:dyDescent="0.5">
      <c r="G71" s="144"/>
    </row>
    <row r="72" spans="7:7" x14ac:dyDescent="0.5">
      <c r="G72" s="144"/>
    </row>
    <row r="73" spans="7:7" x14ac:dyDescent="0.5">
      <c r="G73" s="144"/>
    </row>
    <row r="74" spans="7:7" x14ac:dyDescent="0.5">
      <c r="G74" s="144"/>
    </row>
    <row r="75" spans="7:7" x14ac:dyDescent="0.5">
      <c r="G75" s="144"/>
    </row>
    <row r="76" spans="7:7" x14ac:dyDescent="0.5">
      <c r="G76" s="144"/>
    </row>
    <row r="77" spans="7:7" x14ac:dyDescent="0.5">
      <c r="G77" s="144"/>
    </row>
    <row r="78" spans="7:7" x14ac:dyDescent="0.5">
      <c r="G78" s="144"/>
    </row>
    <row r="79" spans="7:7" x14ac:dyDescent="0.5">
      <c r="G79" s="144"/>
    </row>
    <row r="80" spans="7:7" x14ac:dyDescent="0.5">
      <c r="G80" s="144"/>
    </row>
    <row r="81" spans="7:7" x14ac:dyDescent="0.5">
      <c r="G81" s="144"/>
    </row>
    <row r="82" spans="7:7" x14ac:dyDescent="0.5">
      <c r="G82" s="144"/>
    </row>
    <row r="83" spans="7:7" x14ac:dyDescent="0.5">
      <c r="G83" s="144"/>
    </row>
    <row r="84" spans="7:7" x14ac:dyDescent="0.5">
      <c r="G84" s="144"/>
    </row>
    <row r="85" spans="7:7" x14ac:dyDescent="0.5">
      <c r="G85" s="144"/>
    </row>
    <row r="86" spans="7:7" x14ac:dyDescent="0.5">
      <c r="G86" s="144"/>
    </row>
    <row r="87" spans="7:7" x14ac:dyDescent="0.5">
      <c r="G87" s="144"/>
    </row>
    <row r="88" spans="7:7" x14ac:dyDescent="0.5">
      <c r="G88" s="144"/>
    </row>
    <row r="89" spans="7:7" x14ac:dyDescent="0.5">
      <c r="G89" s="144"/>
    </row>
    <row r="90" spans="7:7" x14ac:dyDescent="0.5">
      <c r="G90" s="144"/>
    </row>
    <row r="91" spans="7:7" x14ac:dyDescent="0.5">
      <c r="G91" s="144"/>
    </row>
    <row r="92" spans="7:7" x14ac:dyDescent="0.5">
      <c r="G92" s="144"/>
    </row>
    <row r="93" spans="7:7" x14ac:dyDescent="0.5">
      <c r="G93" s="144"/>
    </row>
    <row r="94" spans="7:7" x14ac:dyDescent="0.5">
      <c r="G94" s="144"/>
    </row>
    <row r="95" spans="7:7" x14ac:dyDescent="0.5">
      <c r="G95" s="144"/>
    </row>
    <row r="96" spans="7:7" x14ac:dyDescent="0.5">
      <c r="G96" s="144"/>
    </row>
    <row r="97" spans="7:7" x14ac:dyDescent="0.5">
      <c r="G97" s="144"/>
    </row>
    <row r="98" spans="7:7" x14ac:dyDescent="0.5">
      <c r="G98" s="144"/>
    </row>
    <row r="99" spans="7:7" x14ac:dyDescent="0.5">
      <c r="G99" s="144"/>
    </row>
    <row r="100" spans="7:7" x14ac:dyDescent="0.5">
      <c r="G100" s="144"/>
    </row>
    <row r="101" spans="7:7" x14ac:dyDescent="0.5">
      <c r="G101" s="144"/>
    </row>
    <row r="102" spans="7:7" x14ac:dyDescent="0.5">
      <c r="G102" s="144"/>
    </row>
    <row r="103" spans="7:7" x14ac:dyDescent="0.5">
      <c r="G103" s="144"/>
    </row>
    <row r="104" spans="7:7" x14ac:dyDescent="0.5">
      <c r="G104" s="144"/>
    </row>
    <row r="105" spans="7:7" x14ac:dyDescent="0.5">
      <c r="G105" s="144"/>
    </row>
    <row r="106" spans="7:7" x14ac:dyDescent="0.5">
      <c r="G106" s="144"/>
    </row>
    <row r="107" spans="7:7" x14ac:dyDescent="0.5">
      <c r="G107" s="144"/>
    </row>
    <row r="108" spans="7:7" x14ac:dyDescent="0.5">
      <c r="G108" s="144"/>
    </row>
    <row r="109" spans="7:7" x14ac:dyDescent="0.5">
      <c r="G109" s="144"/>
    </row>
    <row r="110" spans="7:7" x14ac:dyDescent="0.5">
      <c r="G110" s="144"/>
    </row>
    <row r="111" spans="7:7" x14ac:dyDescent="0.5">
      <c r="G111" s="144"/>
    </row>
    <row r="112" spans="7:7" x14ac:dyDescent="0.5">
      <c r="G112" s="144"/>
    </row>
    <row r="113" spans="7:7" x14ac:dyDescent="0.5">
      <c r="G113" s="144"/>
    </row>
    <row r="114" spans="7:7" x14ac:dyDescent="0.5">
      <c r="G114" s="144"/>
    </row>
    <row r="115" spans="7:7" x14ac:dyDescent="0.5">
      <c r="G115" s="144"/>
    </row>
    <row r="116" spans="7:7" x14ac:dyDescent="0.5">
      <c r="G116" s="144"/>
    </row>
    <row r="117" spans="7:7" x14ac:dyDescent="0.5">
      <c r="G117" s="144"/>
    </row>
    <row r="118" spans="7:7" x14ac:dyDescent="0.5">
      <c r="G118" s="144"/>
    </row>
    <row r="119" spans="7:7" x14ac:dyDescent="0.5">
      <c r="G119" s="144"/>
    </row>
    <row r="120" spans="7:7" x14ac:dyDescent="0.5">
      <c r="G120" s="144"/>
    </row>
    <row r="121" spans="7:7" x14ac:dyDescent="0.5">
      <c r="G121" s="144"/>
    </row>
    <row r="122" spans="7:7" x14ac:dyDescent="0.5">
      <c r="G122" s="144"/>
    </row>
    <row r="123" spans="7:7" x14ac:dyDescent="0.5">
      <c r="G123" s="144"/>
    </row>
    <row r="124" spans="7:7" x14ac:dyDescent="0.5">
      <c r="G124" s="144"/>
    </row>
    <row r="125" spans="7:7" x14ac:dyDescent="0.5">
      <c r="G125" s="144"/>
    </row>
    <row r="126" spans="7:7" x14ac:dyDescent="0.5">
      <c r="G126" s="144"/>
    </row>
    <row r="127" spans="7:7" x14ac:dyDescent="0.5">
      <c r="G127" s="144"/>
    </row>
    <row r="128" spans="7:7" x14ac:dyDescent="0.5">
      <c r="G128" s="144"/>
    </row>
    <row r="129" spans="7:7" x14ac:dyDescent="0.5">
      <c r="G129" s="144"/>
    </row>
    <row r="130" spans="7:7" x14ac:dyDescent="0.5">
      <c r="G130" s="144"/>
    </row>
    <row r="131" spans="7:7" x14ac:dyDescent="0.5">
      <c r="G131" s="144"/>
    </row>
    <row r="132" spans="7:7" x14ac:dyDescent="0.5">
      <c r="G132" s="144"/>
    </row>
    <row r="133" spans="7:7" x14ac:dyDescent="0.5">
      <c r="G133" s="144"/>
    </row>
    <row r="134" spans="7:7" x14ac:dyDescent="0.5">
      <c r="G134" s="144"/>
    </row>
    <row r="135" spans="7:7" x14ac:dyDescent="0.5">
      <c r="G135" s="144"/>
    </row>
    <row r="136" spans="7:7" x14ac:dyDescent="0.5">
      <c r="G136" s="144"/>
    </row>
    <row r="137" spans="7:7" x14ac:dyDescent="0.5">
      <c r="G137" s="144"/>
    </row>
    <row r="138" spans="7:7" x14ac:dyDescent="0.5">
      <c r="G138" s="144"/>
    </row>
    <row r="139" spans="7:7" x14ac:dyDescent="0.5">
      <c r="G139" s="144"/>
    </row>
    <row r="140" spans="7:7" x14ac:dyDescent="0.5">
      <c r="G140" s="144"/>
    </row>
    <row r="141" spans="7:7" x14ac:dyDescent="0.5">
      <c r="G141" s="144"/>
    </row>
    <row r="142" spans="7:7" x14ac:dyDescent="0.5">
      <c r="G142" s="144"/>
    </row>
    <row r="143" spans="7:7" x14ac:dyDescent="0.5">
      <c r="G143" s="144"/>
    </row>
    <row r="144" spans="7:7" x14ac:dyDescent="0.5">
      <c r="G144" s="144"/>
    </row>
    <row r="145" spans="7:7" x14ac:dyDescent="0.5">
      <c r="G145" s="144"/>
    </row>
    <row r="146" spans="7:7" x14ac:dyDescent="0.5">
      <c r="G146" s="144"/>
    </row>
    <row r="147" spans="7:7" x14ac:dyDescent="0.5">
      <c r="G147" s="144"/>
    </row>
    <row r="148" spans="7:7" x14ac:dyDescent="0.5">
      <c r="G148" s="144"/>
    </row>
    <row r="149" spans="7:7" x14ac:dyDescent="0.5">
      <c r="G149" s="144"/>
    </row>
    <row r="150" spans="7:7" x14ac:dyDescent="0.5">
      <c r="G150" s="144"/>
    </row>
    <row r="151" spans="7:7" x14ac:dyDescent="0.5">
      <c r="G151" s="144"/>
    </row>
    <row r="152" spans="7:7" x14ac:dyDescent="0.5">
      <c r="G152" s="144"/>
    </row>
    <row r="153" spans="7:7" x14ac:dyDescent="0.5">
      <c r="G153" s="144"/>
    </row>
    <row r="154" spans="7:7" x14ac:dyDescent="0.5">
      <c r="G154" s="144"/>
    </row>
    <row r="155" spans="7:7" x14ac:dyDescent="0.5">
      <c r="G155" s="144"/>
    </row>
    <row r="156" spans="7:7" x14ac:dyDescent="0.5">
      <c r="G156" s="144"/>
    </row>
    <row r="157" spans="7:7" x14ac:dyDescent="0.5">
      <c r="G157" s="144"/>
    </row>
    <row r="158" spans="7:7" x14ac:dyDescent="0.5">
      <c r="G158" s="144"/>
    </row>
    <row r="159" spans="7:7" x14ac:dyDescent="0.5">
      <c r="G159" s="144"/>
    </row>
    <row r="160" spans="7:7" x14ac:dyDescent="0.5">
      <c r="G160" s="144"/>
    </row>
    <row r="161" spans="7:7" x14ac:dyDescent="0.5">
      <c r="G161" s="144"/>
    </row>
    <row r="162" spans="7:7" x14ac:dyDescent="0.5">
      <c r="G162" s="144"/>
    </row>
    <row r="163" spans="7:7" x14ac:dyDescent="0.5">
      <c r="G163" s="144"/>
    </row>
    <row r="164" spans="7:7" x14ac:dyDescent="0.5">
      <c r="G164" s="144"/>
    </row>
    <row r="165" spans="7:7" x14ac:dyDescent="0.5">
      <c r="G165" s="144"/>
    </row>
    <row r="166" spans="7:7" x14ac:dyDescent="0.5">
      <c r="G166" s="144"/>
    </row>
    <row r="167" spans="7:7" x14ac:dyDescent="0.5">
      <c r="G167" s="144"/>
    </row>
    <row r="168" spans="7:7" x14ac:dyDescent="0.5">
      <c r="G168" s="144"/>
    </row>
    <row r="169" spans="7:7" x14ac:dyDescent="0.5">
      <c r="G169" s="144"/>
    </row>
    <row r="170" spans="7:7" x14ac:dyDescent="0.5">
      <c r="G170" s="144"/>
    </row>
    <row r="171" spans="7:7" x14ac:dyDescent="0.5">
      <c r="G171" s="144"/>
    </row>
    <row r="172" spans="7:7" x14ac:dyDescent="0.5">
      <c r="G172" s="144"/>
    </row>
    <row r="173" spans="7:7" x14ac:dyDescent="0.5">
      <c r="G173" s="144"/>
    </row>
    <row r="174" spans="7:7" x14ac:dyDescent="0.5">
      <c r="G174" s="144"/>
    </row>
    <row r="175" spans="7:7" x14ac:dyDescent="0.5">
      <c r="G175" s="144"/>
    </row>
    <row r="176" spans="7:7" x14ac:dyDescent="0.5">
      <c r="G176" s="144"/>
    </row>
    <row r="177" spans="7:7" x14ac:dyDescent="0.5">
      <c r="G177" s="144"/>
    </row>
    <row r="178" spans="7:7" x14ac:dyDescent="0.5">
      <c r="G178" s="144"/>
    </row>
    <row r="179" spans="7:7" x14ac:dyDescent="0.5">
      <c r="G179" s="144"/>
    </row>
    <row r="180" spans="7:7" x14ac:dyDescent="0.5">
      <c r="G180" s="144"/>
    </row>
    <row r="181" spans="7:7" x14ac:dyDescent="0.5">
      <c r="G181" s="144"/>
    </row>
    <row r="182" spans="7:7" x14ac:dyDescent="0.5">
      <c r="G182" s="144"/>
    </row>
    <row r="183" spans="7:7" x14ac:dyDescent="0.5">
      <c r="G183" s="144"/>
    </row>
    <row r="184" spans="7:7" x14ac:dyDescent="0.5">
      <c r="G184" s="144"/>
    </row>
    <row r="185" spans="7:7" x14ac:dyDescent="0.5">
      <c r="G185" s="144"/>
    </row>
    <row r="186" spans="7:7" x14ac:dyDescent="0.5">
      <c r="G186" s="144"/>
    </row>
    <row r="187" spans="7:7" x14ac:dyDescent="0.5">
      <c r="G187" s="144"/>
    </row>
    <row r="188" spans="7:7" x14ac:dyDescent="0.5">
      <c r="G188" s="144"/>
    </row>
    <row r="189" spans="7:7" x14ac:dyDescent="0.5">
      <c r="G189" s="144"/>
    </row>
    <row r="190" spans="7:7" x14ac:dyDescent="0.5">
      <c r="G190" s="144"/>
    </row>
    <row r="191" spans="7:7" x14ac:dyDescent="0.5">
      <c r="G191" s="144"/>
    </row>
    <row r="192" spans="7:7" x14ac:dyDescent="0.5">
      <c r="G192" s="144"/>
    </row>
    <row r="193" spans="7:7" x14ac:dyDescent="0.5">
      <c r="G193" s="144"/>
    </row>
    <row r="194" spans="7:7" x14ac:dyDescent="0.5">
      <c r="G194" s="144"/>
    </row>
    <row r="195" spans="7:7" x14ac:dyDescent="0.5">
      <c r="G195" s="144"/>
    </row>
    <row r="196" spans="7:7" x14ac:dyDescent="0.5">
      <c r="G196" s="144"/>
    </row>
  </sheetData>
  <mergeCells count="6">
    <mergeCell ref="C3:I3"/>
    <mergeCell ref="A3:B4"/>
    <mergeCell ref="A1:V1"/>
    <mergeCell ref="J3:K4"/>
    <mergeCell ref="L3:R3"/>
    <mergeCell ref="S3:U3"/>
  </mergeCells>
  <phoneticPr fontId="4" type="noConversion"/>
  <pageMargins left="0.39370078740157483" right="0" top="0.39370078740157483" bottom="0.31496062992125984" header="0" footer="0"/>
  <pageSetup paperSize="9" scale="54" orientation="landscape" r:id="rId1"/>
  <headerFooter alignWithMargins="0"/>
  <rowBreaks count="3" manualBreakCount="3">
    <brk id="27" max="16383" man="1"/>
    <brk id="46" max="20" man="1"/>
    <brk id="5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IV11"/>
  <sheetViews>
    <sheetView view="pageBreakPreview" topLeftCell="A4" zoomScale="110" zoomScaleNormal="100" zoomScaleSheetLayoutView="110" workbookViewId="0">
      <selection activeCell="C5" sqref="C5"/>
    </sheetView>
  </sheetViews>
  <sheetFormatPr defaultColWidth="36.85546875" defaultRowHeight="21.75" x14ac:dyDescent="0.2"/>
  <cols>
    <col min="1" max="1" width="4.42578125" style="7" customWidth="1"/>
    <col min="2" max="2" width="54.7109375" style="7" customWidth="1"/>
    <col min="3" max="3" width="99.85546875" style="7" customWidth="1"/>
    <col min="4" max="4" width="4.140625" style="4" customWidth="1"/>
    <col min="5" max="16384" width="36.85546875" style="7"/>
  </cols>
  <sheetData>
    <row r="1" spans="1:256" s="72" customFormat="1" ht="23.25" x14ac:dyDescent="0.2">
      <c r="A1" s="72" t="s">
        <v>398</v>
      </c>
    </row>
    <row r="2" spans="1:256" s="72" customFormat="1" ht="24" thickBot="1" x14ac:dyDescent="0.6">
      <c r="B2" s="71" t="s">
        <v>127</v>
      </c>
    </row>
    <row r="3" spans="1:256" ht="25.5" customHeight="1" thickBot="1" x14ac:dyDescent="0.25">
      <c r="A3" s="1543" t="s">
        <v>61</v>
      </c>
      <c r="B3" s="1556"/>
      <c r="C3" s="125" t="s">
        <v>59</v>
      </c>
    </row>
    <row r="4" spans="1:256" ht="18" customHeight="1" x14ac:dyDescent="0.2">
      <c r="A4" s="473" t="s">
        <v>240</v>
      </c>
      <c r="B4" s="471"/>
      <c r="C4" s="775" t="s">
        <v>457</v>
      </c>
      <c r="D4" s="480"/>
      <c r="E4" s="11"/>
      <c r="F4" s="132"/>
      <c r="G4" s="131"/>
      <c r="H4" s="11"/>
      <c r="I4" s="132"/>
      <c r="J4" s="131"/>
      <c r="K4" s="11"/>
      <c r="L4" s="132"/>
      <c r="M4" s="131"/>
      <c r="N4" s="11"/>
      <c r="O4" s="132"/>
      <c r="P4" s="131"/>
      <c r="Q4" s="11"/>
      <c r="R4" s="132"/>
      <c r="S4" s="131"/>
      <c r="T4" s="11"/>
      <c r="U4" s="132"/>
      <c r="V4" s="131"/>
      <c r="W4" s="11"/>
      <c r="X4" s="132"/>
      <c r="Y4" s="131"/>
      <c r="Z4" s="11"/>
      <c r="AA4" s="132"/>
      <c r="AB4" s="131"/>
      <c r="AC4" s="11"/>
      <c r="AD4" s="132"/>
      <c r="AE4" s="131"/>
      <c r="AF4" s="11"/>
      <c r="AG4" s="132"/>
      <c r="AH4" s="131"/>
      <c r="AI4" s="11"/>
      <c r="AJ4" s="132"/>
      <c r="AK4" s="131"/>
      <c r="AL4" s="11"/>
      <c r="AM4" s="132"/>
      <c r="AN4" s="131"/>
      <c r="AO4" s="11"/>
      <c r="AP4" s="132"/>
      <c r="AQ4" s="131"/>
      <c r="AR4" s="11"/>
      <c r="AS4" s="132"/>
      <c r="AT4" s="131"/>
      <c r="AU4" s="11"/>
      <c r="AV4" s="132"/>
      <c r="AW4" s="131"/>
      <c r="AX4" s="11"/>
      <c r="AY4" s="132"/>
      <c r="AZ4" s="131"/>
      <c r="BA4" s="11"/>
      <c r="BB4" s="132"/>
      <c r="BC4" s="131"/>
      <c r="BD4" s="11"/>
      <c r="BE4" s="132"/>
      <c r="BF4" s="131"/>
      <c r="BG4" s="11"/>
      <c r="BH4" s="132"/>
      <c r="BI4" s="131"/>
      <c r="BJ4" s="11"/>
      <c r="BK4" s="132"/>
      <c r="BL4" s="131"/>
      <c r="BM4" s="11"/>
      <c r="BN4" s="132"/>
      <c r="BO4" s="131"/>
      <c r="BP4" s="11"/>
      <c r="BQ4" s="132"/>
      <c r="BR4" s="131"/>
      <c r="BS4" s="11"/>
      <c r="BT4" s="132"/>
      <c r="BU4" s="131"/>
      <c r="BV4" s="11"/>
      <c r="BW4" s="132"/>
      <c r="BX4" s="131"/>
      <c r="BY4" s="11"/>
      <c r="BZ4" s="132"/>
      <c r="CA4" s="131"/>
      <c r="CB4" s="11"/>
      <c r="CC4" s="132"/>
      <c r="CD4" s="131"/>
      <c r="CE4" s="11"/>
      <c r="CF4" s="132"/>
      <c r="CG4" s="131"/>
      <c r="CH4" s="11"/>
      <c r="CI4" s="132"/>
      <c r="CJ4" s="131"/>
      <c r="CK4" s="11"/>
      <c r="CL4" s="132"/>
      <c r="CM4" s="131"/>
      <c r="CN4" s="11"/>
      <c r="CO4" s="132"/>
      <c r="CP4" s="131"/>
      <c r="CQ4" s="11"/>
      <c r="CR4" s="132"/>
      <c r="CS4" s="131"/>
      <c r="CT4" s="11"/>
      <c r="CU4" s="132"/>
      <c r="CV4" s="131"/>
      <c r="CW4" s="11"/>
      <c r="CX4" s="132"/>
      <c r="CY4" s="131"/>
      <c r="CZ4" s="11"/>
      <c r="DA4" s="132"/>
      <c r="DB4" s="131"/>
      <c r="DC4" s="11"/>
      <c r="DD4" s="132"/>
      <c r="DE4" s="131"/>
      <c r="DF4" s="11"/>
      <c r="DG4" s="132"/>
      <c r="DH4" s="131"/>
      <c r="DI4" s="11"/>
      <c r="DJ4" s="132"/>
      <c r="DK4" s="131"/>
      <c r="DL4" s="11"/>
      <c r="DM4" s="132"/>
      <c r="DN4" s="131"/>
      <c r="DO4" s="11"/>
      <c r="DP4" s="132"/>
      <c r="DQ4" s="131"/>
      <c r="DR4" s="11"/>
      <c r="DS4" s="132"/>
      <c r="DT4" s="131"/>
      <c r="DU4" s="11"/>
      <c r="DV4" s="132"/>
      <c r="DW4" s="131"/>
      <c r="DX4" s="11"/>
      <c r="DY4" s="132"/>
      <c r="DZ4" s="131"/>
      <c r="EA4" s="11"/>
      <c r="EB4" s="132"/>
      <c r="EC4" s="131"/>
      <c r="ED4" s="11"/>
      <c r="EE4" s="132"/>
      <c r="EF4" s="131"/>
      <c r="EG4" s="11"/>
      <c r="EH4" s="132"/>
      <c r="EI4" s="131"/>
      <c r="EJ4" s="11"/>
      <c r="EK4" s="132"/>
      <c r="EL4" s="131"/>
      <c r="EM4" s="11"/>
      <c r="EN4" s="132"/>
      <c r="EO4" s="131"/>
      <c r="EP4" s="11"/>
      <c r="EQ4" s="132"/>
      <c r="ER4" s="131"/>
      <c r="ES4" s="11"/>
      <c r="ET4" s="132"/>
      <c r="EU4" s="131"/>
      <c r="EV4" s="11"/>
      <c r="EW4" s="132"/>
      <c r="EX4" s="131"/>
      <c r="EY4" s="11"/>
      <c r="EZ4" s="132"/>
      <c r="FA4" s="131"/>
      <c r="FB4" s="11"/>
      <c r="FC4" s="132"/>
      <c r="FD4" s="131"/>
      <c r="FE4" s="11"/>
      <c r="FF4" s="132"/>
      <c r="FG4" s="131"/>
      <c r="FH4" s="11"/>
      <c r="FI4" s="132"/>
      <c r="FJ4" s="131"/>
      <c r="FK4" s="11"/>
      <c r="FL4" s="132"/>
      <c r="FM4" s="131"/>
      <c r="FN4" s="11"/>
      <c r="FO4" s="132"/>
      <c r="FP4" s="131"/>
      <c r="FQ4" s="11"/>
      <c r="FR4" s="132"/>
      <c r="FS4" s="131"/>
      <c r="FT4" s="11"/>
      <c r="FU4" s="132"/>
      <c r="FV4" s="131"/>
      <c r="FW4" s="11"/>
      <c r="FX4" s="132"/>
      <c r="FY4" s="131"/>
      <c r="FZ4" s="11"/>
      <c r="GA4" s="132"/>
      <c r="GB4" s="131"/>
      <c r="GC4" s="11"/>
      <c r="GD4" s="132"/>
      <c r="GE4" s="131"/>
      <c r="GF4" s="11"/>
      <c r="GG4" s="132"/>
      <c r="GH4" s="131"/>
      <c r="GI4" s="11"/>
      <c r="GJ4" s="132"/>
      <c r="GK4" s="131"/>
      <c r="GL4" s="11"/>
      <c r="GM4" s="132"/>
      <c r="GN4" s="131"/>
      <c r="GO4" s="11"/>
      <c r="GP4" s="132"/>
      <c r="GQ4" s="131"/>
      <c r="GR4" s="11"/>
      <c r="GS4" s="132"/>
      <c r="GT4" s="131"/>
      <c r="GU4" s="11"/>
      <c r="GV4" s="132"/>
      <c r="GW4" s="131"/>
      <c r="GX4" s="11"/>
      <c r="GY4" s="132"/>
      <c r="GZ4" s="131"/>
      <c r="HA4" s="11"/>
      <c r="HB4" s="132"/>
      <c r="HC4" s="131"/>
      <c r="HD4" s="11"/>
      <c r="HE4" s="132"/>
      <c r="HF4" s="131"/>
      <c r="HG4" s="11"/>
      <c r="HH4" s="132"/>
      <c r="HI4" s="131"/>
      <c r="HJ4" s="11"/>
      <c r="HK4" s="132"/>
      <c r="HL4" s="131"/>
      <c r="HM4" s="11"/>
      <c r="HN4" s="132"/>
      <c r="HO4" s="131"/>
      <c r="HP4" s="11"/>
      <c r="HQ4" s="132"/>
      <c r="HR4" s="131"/>
      <c r="HS4" s="11"/>
      <c r="HT4" s="132"/>
      <c r="HU4" s="131"/>
      <c r="HV4" s="11"/>
      <c r="HW4" s="132"/>
      <c r="HX4" s="131"/>
      <c r="HY4" s="11"/>
      <c r="HZ4" s="132"/>
      <c r="IA4" s="131"/>
      <c r="IB4" s="11"/>
      <c r="IC4" s="132"/>
      <c r="ID4" s="131"/>
      <c r="IE4" s="11"/>
      <c r="IF4" s="132"/>
      <c r="IG4" s="131"/>
      <c r="IH4" s="11"/>
      <c r="II4" s="132"/>
      <c r="IJ4" s="131"/>
      <c r="IK4" s="11"/>
      <c r="IL4" s="132"/>
      <c r="IM4" s="131"/>
      <c r="IN4" s="11"/>
      <c r="IO4" s="132"/>
      <c r="IP4" s="131"/>
      <c r="IQ4" s="11"/>
      <c r="IR4" s="132"/>
      <c r="IS4" s="131"/>
      <c r="IT4" s="11"/>
      <c r="IU4" s="132"/>
      <c r="IV4" s="131"/>
    </row>
    <row r="5" spans="1:256" ht="87" x14ac:dyDescent="0.2">
      <c r="A5" s="6">
        <v>5</v>
      </c>
      <c r="B5" s="191" t="s">
        <v>179</v>
      </c>
      <c r="C5" s="776" t="s">
        <v>570</v>
      </c>
      <c r="D5" s="92"/>
      <c r="E5" s="95"/>
      <c r="F5" s="782"/>
      <c r="G5" s="92"/>
      <c r="H5" s="95"/>
      <c r="I5" s="782"/>
      <c r="J5" s="92"/>
      <c r="K5" s="95"/>
      <c r="L5" s="782"/>
      <c r="M5" s="92"/>
      <c r="N5" s="95"/>
      <c r="O5" s="782"/>
      <c r="P5" s="92"/>
      <c r="Q5" s="95"/>
      <c r="R5" s="782"/>
      <c r="S5" s="92"/>
      <c r="T5" s="95"/>
      <c r="U5" s="782"/>
      <c r="V5" s="92"/>
      <c r="W5" s="95"/>
      <c r="X5" s="782"/>
      <c r="Y5" s="92"/>
      <c r="Z5" s="95"/>
      <c r="AA5" s="782"/>
      <c r="AB5" s="92"/>
      <c r="AC5" s="95"/>
      <c r="AD5" s="782"/>
      <c r="AE5" s="92"/>
      <c r="AF5" s="95"/>
      <c r="AG5" s="782"/>
      <c r="AH5" s="92"/>
      <c r="AI5" s="95"/>
      <c r="AJ5" s="782"/>
      <c r="AK5" s="92"/>
      <c r="AL5" s="95"/>
      <c r="AM5" s="782"/>
      <c r="AN5" s="92"/>
      <c r="AO5" s="95"/>
      <c r="AP5" s="782"/>
      <c r="AQ5" s="92"/>
      <c r="AR5" s="95"/>
      <c r="AS5" s="782"/>
      <c r="AT5" s="92"/>
      <c r="AU5" s="95"/>
      <c r="AV5" s="782"/>
      <c r="AW5" s="92"/>
      <c r="AX5" s="95"/>
      <c r="AY5" s="782"/>
      <c r="AZ5" s="92"/>
      <c r="BA5" s="95"/>
      <c r="BB5" s="782"/>
      <c r="BC5" s="92"/>
      <c r="BD5" s="95"/>
      <c r="BE5" s="782"/>
      <c r="BF5" s="92"/>
      <c r="BG5" s="95"/>
      <c r="BH5" s="782"/>
      <c r="BI5" s="92"/>
      <c r="BJ5" s="95"/>
      <c r="BK5" s="782"/>
      <c r="BL5" s="92"/>
      <c r="BM5" s="95"/>
      <c r="BN5" s="782"/>
      <c r="BO5" s="92"/>
      <c r="BP5" s="95"/>
      <c r="BQ5" s="782"/>
      <c r="BR5" s="92"/>
      <c r="BS5" s="95"/>
      <c r="BT5" s="782"/>
      <c r="BU5" s="92"/>
      <c r="BV5" s="95"/>
      <c r="BW5" s="782"/>
      <c r="BX5" s="92"/>
      <c r="BY5" s="95"/>
      <c r="BZ5" s="782"/>
      <c r="CA5" s="92"/>
      <c r="CB5" s="95"/>
      <c r="CC5" s="782"/>
      <c r="CD5" s="92"/>
      <c r="CE5" s="95"/>
      <c r="CF5" s="782"/>
      <c r="CG5" s="92"/>
      <c r="CH5" s="95"/>
      <c r="CI5" s="782"/>
      <c r="CJ5" s="92"/>
      <c r="CK5" s="95"/>
      <c r="CL5" s="782"/>
      <c r="CM5" s="92"/>
      <c r="CN5" s="95"/>
      <c r="CO5" s="782"/>
      <c r="CP5" s="92"/>
      <c r="CQ5" s="95"/>
      <c r="CR5" s="782"/>
      <c r="CS5" s="92"/>
      <c r="CT5" s="95"/>
      <c r="CU5" s="782"/>
      <c r="CV5" s="92"/>
      <c r="CW5" s="95"/>
      <c r="CX5" s="782"/>
      <c r="CY5" s="92"/>
      <c r="CZ5" s="95"/>
      <c r="DA5" s="782"/>
      <c r="DB5" s="92"/>
      <c r="DC5" s="95"/>
      <c r="DD5" s="782"/>
      <c r="DE5" s="92"/>
      <c r="DF5" s="95"/>
      <c r="DG5" s="782"/>
      <c r="DH5" s="92"/>
      <c r="DI5" s="95"/>
      <c r="DJ5" s="782"/>
      <c r="DK5" s="92"/>
      <c r="DL5" s="95"/>
      <c r="DM5" s="782"/>
      <c r="DN5" s="92"/>
      <c r="DO5" s="95"/>
      <c r="DP5" s="782"/>
      <c r="DQ5" s="92"/>
      <c r="DR5" s="95"/>
      <c r="DS5" s="782"/>
      <c r="DT5" s="92"/>
      <c r="DU5" s="95"/>
      <c r="DV5" s="782"/>
      <c r="DW5" s="92"/>
      <c r="DX5" s="95"/>
      <c r="DY5" s="782"/>
      <c r="DZ5" s="92"/>
      <c r="EA5" s="95"/>
      <c r="EB5" s="782"/>
      <c r="EC5" s="92"/>
      <c r="ED5" s="95"/>
      <c r="EE5" s="782"/>
      <c r="EF5" s="92"/>
      <c r="EG5" s="95"/>
      <c r="EH5" s="782"/>
      <c r="EI5" s="92"/>
      <c r="EJ5" s="95"/>
      <c r="EK5" s="782"/>
      <c r="EL5" s="92"/>
      <c r="EM5" s="95"/>
      <c r="EN5" s="782"/>
      <c r="EO5" s="92"/>
      <c r="EP5" s="95"/>
      <c r="EQ5" s="782"/>
      <c r="ER5" s="92"/>
      <c r="ES5" s="95"/>
      <c r="ET5" s="782"/>
      <c r="EU5" s="92"/>
      <c r="EV5" s="95"/>
      <c r="EW5" s="782"/>
      <c r="EX5" s="92"/>
      <c r="EY5" s="95"/>
      <c r="EZ5" s="782"/>
      <c r="FA5" s="92"/>
      <c r="FB5" s="95"/>
      <c r="FC5" s="782"/>
      <c r="FD5" s="92"/>
      <c r="FE5" s="95"/>
      <c r="FF5" s="782"/>
      <c r="FG5" s="92"/>
      <c r="FH5" s="95"/>
      <c r="FI5" s="782"/>
      <c r="FJ5" s="92"/>
      <c r="FK5" s="95"/>
      <c r="FL5" s="782"/>
      <c r="FM5" s="92"/>
      <c r="FN5" s="95"/>
      <c r="FO5" s="782"/>
      <c r="FP5" s="92"/>
      <c r="FQ5" s="95"/>
      <c r="FR5" s="782"/>
      <c r="FS5" s="92"/>
      <c r="FT5" s="95"/>
      <c r="FU5" s="782"/>
      <c r="FV5" s="92"/>
      <c r="FW5" s="95"/>
      <c r="FX5" s="782"/>
      <c r="FY5" s="92"/>
      <c r="FZ5" s="95"/>
      <c r="GA5" s="782"/>
      <c r="GB5" s="92"/>
      <c r="GC5" s="95"/>
      <c r="GD5" s="782"/>
      <c r="GE5" s="92"/>
      <c r="GF5" s="95"/>
      <c r="GG5" s="782"/>
      <c r="GH5" s="92"/>
      <c r="GI5" s="95"/>
      <c r="GJ5" s="782"/>
      <c r="GK5" s="92"/>
      <c r="GL5" s="95"/>
      <c r="GM5" s="782"/>
      <c r="GN5" s="92"/>
      <c r="GO5" s="95"/>
      <c r="GP5" s="782"/>
      <c r="GQ5" s="92"/>
      <c r="GR5" s="95"/>
      <c r="GS5" s="782"/>
      <c r="GT5" s="92"/>
      <c r="GU5" s="95"/>
      <c r="GV5" s="782"/>
      <c r="GW5" s="92"/>
      <c r="GX5" s="95"/>
      <c r="GY5" s="782"/>
      <c r="GZ5" s="92"/>
      <c r="HA5" s="95"/>
      <c r="HB5" s="782"/>
      <c r="HC5" s="92"/>
      <c r="HD5" s="95"/>
      <c r="HE5" s="782"/>
      <c r="HF5" s="92"/>
      <c r="HG5" s="95"/>
      <c r="HH5" s="782"/>
      <c r="HI5" s="92"/>
      <c r="HJ5" s="95"/>
      <c r="HK5" s="782"/>
      <c r="HL5" s="92"/>
      <c r="HM5" s="95"/>
      <c r="HN5" s="782"/>
      <c r="HO5" s="92"/>
      <c r="HP5" s="95"/>
      <c r="HQ5" s="782"/>
      <c r="HR5" s="92"/>
      <c r="HS5" s="95"/>
      <c r="HT5" s="782"/>
      <c r="HU5" s="92"/>
      <c r="HV5" s="95"/>
      <c r="HW5" s="782"/>
      <c r="HX5" s="92"/>
      <c r="HY5" s="95"/>
      <c r="HZ5" s="782"/>
      <c r="IA5" s="92"/>
      <c r="IB5" s="95"/>
      <c r="IC5" s="782"/>
      <c r="ID5" s="92"/>
      <c r="IE5" s="95"/>
      <c r="IF5" s="782"/>
      <c r="IG5" s="92"/>
      <c r="IH5" s="95"/>
      <c r="II5" s="782"/>
      <c r="IJ5" s="92"/>
      <c r="IK5" s="95"/>
      <c r="IL5" s="782"/>
      <c r="IM5" s="92"/>
      <c r="IN5" s="95"/>
      <c r="IO5" s="782"/>
      <c r="IP5" s="92"/>
      <c r="IQ5" s="95"/>
      <c r="IR5" s="782"/>
      <c r="IS5" s="92"/>
      <c r="IT5" s="95"/>
      <c r="IU5" s="782"/>
      <c r="IV5" s="92"/>
    </row>
    <row r="6" spans="1:256" ht="18" customHeight="1" thickBot="1" x14ac:dyDescent="0.25">
      <c r="A6" s="12"/>
      <c r="B6" s="130"/>
      <c r="C6" s="137"/>
      <c r="D6" s="135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256" ht="18" customHeight="1" x14ac:dyDescent="0.2">
      <c r="A7" s="473" t="s">
        <v>93</v>
      </c>
      <c r="B7" s="471"/>
      <c r="C7" s="765" t="s">
        <v>456</v>
      </c>
      <c r="D7" s="480"/>
      <c r="E7" s="11"/>
      <c r="F7" s="132"/>
      <c r="G7" s="131"/>
      <c r="H7" s="11"/>
      <c r="I7" s="132"/>
      <c r="J7" s="131"/>
      <c r="K7" s="11"/>
      <c r="L7" s="132"/>
      <c r="M7" s="131"/>
      <c r="N7" s="11"/>
      <c r="O7" s="132"/>
      <c r="P7" s="131"/>
      <c r="Q7" s="11"/>
      <c r="R7" s="132"/>
      <c r="S7" s="131"/>
      <c r="T7" s="11"/>
      <c r="U7" s="132"/>
      <c r="V7" s="131"/>
      <c r="W7" s="11"/>
      <c r="X7" s="132"/>
      <c r="Y7" s="131"/>
      <c r="Z7" s="11"/>
      <c r="AA7" s="132"/>
      <c r="AB7" s="131"/>
      <c r="AC7" s="11"/>
      <c r="AD7" s="132"/>
      <c r="AE7" s="131"/>
      <c r="AF7" s="11"/>
      <c r="AG7" s="132"/>
      <c r="AH7" s="131"/>
      <c r="AI7" s="11"/>
      <c r="AJ7" s="132"/>
      <c r="AK7" s="131"/>
      <c r="AL7" s="11"/>
      <c r="AM7" s="132"/>
      <c r="AN7" s="131"/>
      <c r="AO7" s="11"/>
      <c r="AP7" s="132"/>
      <c r="AQ7" s="131"/>
      <c r="AR7" s="11"/>
      <c r="AS7" s="132"/>
      <c r="AT7" s="131"/>
      <c r="AU7" s="11"/>
      <c r="AV7" s="132"/>
      <c r="AW7" s="131"/>
      <c r="AX7" s="11"/>
      <c r="AY7" s="132"/>
      <c r="AZ7" s="131"/>
      <c r="BA7" s="11"/>
      <c r="BB7" s="132"/>
      <c r="BC7" s="131"/>
      <c r="BD7" s="11"/>
      <c r="BE7" s="132"/>
      <c r="BF7" s="131"/>
      <c r="BG7" s="11"/>
      <c r="BH7" s="132"/>
      <c r="BI7" s="131"/>
      <c r="BJ7" s="11"/>
      <c r="BK7" s="132"/>
      <c r="BL7" s="131"/>
      <c r="BM7" s="11"/>
      <c r="BN7" s="132"/>
      <c r="BO7" s="131"/>
      <c r="BP7" s="11"/>
      <c r="BQ7" s="132"/>
      <c r="BR7" s="131"/>
      <c r="BS7" s="11"/>
      <c r="BT7" s="132"/>
      <c r="BU7" s="131"/>
      <c r="BV7" s="11"/>
      <c r="BW7" s="132"/>
      <c r="BX7" s="131"/>
      <c r="BY7" s="11"/>
      <c r="BZ7" s="132"/>
      <c r="CA7" s="131"/>
      <c r="CB7" s="11"/>
      <c r="CC7" s="132"/>
      <c r="CD7" s="131"/>
      <c r="CE7" s="11"/>
      <c r="CF7" s="132"/>
      <c r="CG7" s="131"/>
      <c r="CH7" s="11"/>
      <c r="CI7" s="132"/>
      <c r="CJ7" s="131"/>
      <c r="CK7" s="11"/>
      <c r="CL7" s="132"/>
      <c r="CM7" s="131"/>
      <c r="CN7" s="11"/>
      <c r="CO7" s="132"/>
      <c r="CP7" s="131"/>
      <c r="CQ7" s="11"/>
      <c r="CR7" s="132"/>
      <c r="CS7" s="131"/>
      <c r="CT7" s="11"/>
      <c r="CU7" s="132"/>
      <c r="CV7" s="131"/>
      <c r="CW7" s="11"/>
      <c r="CX7" s="132"/>
      <c r="CY7" s="131"/>
      <c r="CZ7" s="11"/>
      <c r="DA7" s="132"/>
      <c r="DB7" s="131"/>
      <c r="DC7" s="11"/>
      <c r="DD7" s="132"/>
      <c r="DE7" s="131"/>
      <c r="DF7" s="11"/>
      <c r="DG7" s="132"/>
      <c r="DH7" s="131"/>
      <c r="DI7" s="11"/>
      <c r="DJ7" s="132"/>
      <c r="DK7" s="131"/>
      <c r="DL7" s="11"/>
      <c r="DM7" s="132"/>
      <c r="DN7" s="131"/>
      <c r="DO7" s="11"/>
      <c r="DP7" s="132"/>
      <c r="DQ7" s="131"/>
      <c r="DR7" s="11"/>
      <c r="DS7" s="132"/>
      <c r="DT7" s="131"/>
      <c r="DU7" s="11"/>
      <c r="DV7" s="132"/>
      <c r="DW7" s="131"/>
      <c r="DX7" s="11"/>
      <c r="DY7" s="132"/>
      <c r="DZ7" s="131"/>
      <c r="EA7" s="11"/>
      <c r="EB7" s="132"/>
      <c r="EC7" s="131"/>
      <c r="ED7" s="11"/>
      <c r="EE7" s="132"/>
      <c r="EF7" s="131"/>
      <c r="EG7" s="11"/>
      <c r="EH7" s="132"/>
      <c r="EI7" s="131"/>
      <c r="EJ7" s="11"/>
      <c r="EK7" s="132"/>
      <c r="EL7" s="131"/>
      <c r="EM7" s="11"/>
      <c r="EN7" s="132"/>
      <c r="EO7" s="131"/>
      <c r="EP7" s="11"/>
      <c r="EQ7" s="132"/>
      <c r="ER7" s="131"/>
      <c r="ES7" s="11"/>
      <c r="ET7" s="132"/>
      <c r="EU7" s="131"/>
      <c r="EV7" s="11"/>
      <c r="EW7" s="132"/>
      <c r="EX7" s="131"/>
      <c r="EY7" s="11"/>
      <c r="EZ7" s="132"/>
      <c r="FA7" s="131"/>
      <c r="FB7" s="11"/>
      <c r="FC7" s="132"/>
      <c r="FD7" s="131"/>
      <c r="FE7" s="11"/>
      <c r="FF7" s="132"/>
      <c r="FG7" s="131"/>
      <c r="FH7" s="11"/>
      <c r="FI7" s="132"/>
      <c r="FJ7" s="131"/>
      <c r="FK7" s="11"/>
      <c r="FL7" s="132"/>
      <c r="FM7" s="131"/>
      <c r="FN7" s="11"/>
      <c r="FO7" s="132"/>
      <c r="FP7" s="131"/>
      <c r="FQ7" s="11"/>
      <c r="FR7" s="132"/>
      <c r="FS7" s="131"/>
      <c r="FT7" s="11"/>
      <c r="FU7" s="132"/>
      <c r="FV7" s="131"/>
      <c r="FW7" s="11"/>
      <c r="FX7" s="132"/>
      <c r="FY7" s="131"/>
      <c r="FZ7" s="11"/>
      <c r="GA7" s="132"/>
      <c r="GB7" s="131"/>
      <c r="GC7" s="11"/>
      <c r="GD7" s="132"/>
      <c r="GE7" s="131"/>
      <c r="GF7" s="11"/>
      <c r="GG7" s="132"/>
      <c r="GH7" s="131"/>
      <c r="GI7" s="11"/>
      <c r="GJ7" s="132"/>
      <c r="GK7" s="131"/>
      <c r="GL7" s="11"/>
      <c r="GM7" s="132"/>
      <c r="GN7" s="131"/>
      <c r="GO7" s="11"/>
      <c r="GP7" s="132"/>
      <c r="GQ7" s="131"/>
      <c r="GR7" s="11"/>
      <c r="GS7" s="132"/>
      <c r="GT7" s="131"/>
      <c r="GU7" s="11"/>
      <c r="GV7" s="132"/>
      <c r="GW7" s="131"/>
      <c r="GX7" s="11"/>
      <c r="GY7" s="132"/>
      <c r="GZ7" s="131"/>
      <c r="HA7" s="11"/>
      <c r="HB7" s="132"/>
      <c r="HC7" s="131"/>
      <c r="HD7" s="11"/>
      <c r="HE7" s="132"/>
      <c r="HF7" s="131"/>
      <c r="HG7" s="11"/>
      <c r="HH7" s="132"/>
      <c r="HI7" s="131"/>
      <c r="HJ7" s="11"/>
      <c r="HK7" s="132"/>
      <c r="HL7" s="131"/>
      <c r="HM7" s="11"/>
      <c r="HN7" s="132"/>
      <c r="HO7" s="131"/>
      <c r="HP7" s="11"/>
      <c r="HQ7" s="132"/>
      <c r="HR7" s="131"/>
      <c r="HS7" s="11"/>
      <c r="HT7" s="132"/>
      <c r="HU7" s="131"/>
      <c r="HV7" s="11"/>
      <c r="HW7" s="132"/>
      <c r="HX7" s="131"/>
      <c r="HY7" s="11"/>
      <c r="HZ7" s="132"/>
      <c r="IA7" s="131"/>
      <c r="IB7" s="11"/>
      <c r="IC7" s="132"/>
      <c r="ID7" s="131"/>
      <c r="IE7" s="11"/>
      <c r="IF7" s="132"/>
      <c r="IG7" s="131"/>
      <c r="IH7" s="11"/>
      <c r="II7" s="132"/>
      <c r="IJ7" s="131"/>
      <c r="IK7" s="11"/>
      <c r="IL7" s="132"/>
      <c r="IM7" s="131"/>
      <c r="IN7" s="11"/>
      <c r="IO7" s="132"/>
      <c r="IP7" s="131"/>
      <c r="IQ7" s="11"/>
      <c r="IR7" s="132"/>
      <c r="IS7" s="131"/>
      <c r="IT7" s="11"/>
      <c r="IU7" s="132"/>
      <c r="IV7" s="131"/>
    </row>
    <row r="8" spans="1:256" ht="153" thickBot="1" x14ac:dyDescent="0.25">
      <c r="A8" s="452">
        <v>2</v>
      </c>
      <c r="B8" s="470" t="s">
        <v>49</v>
      </c>
      <c r="C8" s="783" t="s">
        <v>569</v>
      </c>
      <c r="D8" s="92"/>
      <c r="E8" s="95"/>
      <c r="F8" s="782"/>
      <c r="G8" s="92"/>
      <c r="H8" s="95"/>
      <c r="I8" s="782"/>
      <c r="J8" s="92"/>
      <c r="K8" s="95"/>
      <c r="L8" s="782"/>
      <c r="M8" s="92"/>
      <c r="N8" s="95"/>
      <c r="O8" s="782"/>
      <c r="P8" s="92"/>
      <c r="Q8" s="95"/>
      <c r="R8" s="782"/>
      <c r="S8" s="92"/>
      <c r="T8" s="95"/>
      <c r="U8" s="782"/>
      <c r="V8" s="92"/>
      <c r="W8" s="95"/>
      <c r="X8" s="782"/>
      <c r="Y8" s="92"/>
      <c r="Z8" s="95"/>
      <c r="AA8" s="782"/>
      <c r="AB8" s="92"/>
      <c r="AC8" s="95"/>
      <c r="AD8" s="782"/>
      <c r="AE8" s="92"/>
      <c r="AF8" s="95"/>
      <c r="AG8" s="782"/>
      <c r="AH8" s="92"/>
      <c r="AI8" s="95"/>
      <c r="AJ8" s="782"/>
      <c r="AK8" s="92"/>
      <c r="AL8" s="95"/>
      <c r="AM8" s="782"/>
      <c r="AN8" s="92"/>
      <c r="AO8" s="95"/>
      <c r="AP8" s="782"/>
      <c r="AQ8" s="92"/>
      <c r="AR8" s="95"/>
      <c r="AS8" s="782"/>
      <c r="AT8" s="92"/>
      <c r="AU8" s="95"/>
      <c r="AV8" s="782"/>
      <c r="AW8" s="92"/>
      <c r="AX8" s="95"/>
      <c r="AY8" s="782"/>
      <c r="AZ8" s="92"/>
      <c r="BA8" s="95"/>
      <c r="BB8" s="782"/>
      <c r="BC8" s="92"/>
      <c r="BD8" s="95"/>
      <c r="BE8" s="782"/>
      <c r="BF8" s="92"/>
      <c r="BG8" s="95"/>
      <c r="BH8" s="782"/>
      <c r="BI8" s="92"/>
      <c r="BJ8" s="95"/>
      <c r="BK8" s="782"/>
      <c r="BL8" s="92"/>
      <c r="BM8" s="95"/>
      <c r="BN8" s="782"/>
      <c r="BO8" s="92"/>
      <c r="BP8" s="95"/>
      <c r="BQ8" s="782"/>
      <c r="BR8" s="92"/>
      <c r="BS8" s="95"/>
      <c r="BT8" s="782"/>
      <c r="BU8" s="92"/>
      <c r="BV8" s="95"/>
      <c r="BW8" s="782"/>
      <c r="BX8" s="92"/>
      <c r="BY8" s="95"/>
      <c r="BZ8" s="782"/>
      <c r="CA8" s="92"/>
      <c r="CB8" s="95"/>
      <c r="CC8" s="782"/>
      <c r="CD8" s="92"/>
      <c r="CE8" s="95"/>
      <c r="CF8" s="782"/>
      <c r="CG8" s="92"/>
      <c r="CH8" s="95"/>
      <c r="CI8" s="782"/>
      <c r="CJ8" s="92"/>
      <c r="CK8" s="95"/>
      <c r="CL8" s="782"/>
      <c r="CM8" s="92"/>
      <c r="CN8" s="95"/>
      <c r="CO8" s="782"/>
      <c r="CP8" s="92"/>
      <c r="CQ8" s="95"/>
      <c r="CR8" s="782"/>
      <c r="CS8" s="92"/>
      <c r="CT8" s="95"/>
      <c r="CU8" s="782"/>
      <c r="CV8" s="92"/>
      <c r="CW8" s="95"/>
      <c r="CX8" s="782"/>
      <c r="CY8" s="92"/>
      <c r="CZ8" s="95"/>
      <c r="DA8" s="782"/>
      <c r="DB8" s="92"/>
      <c r="DC8" s="95"/>
      <c r="DD8" s="782"/>
      <c r="DE8" s="92"/>
      <c r="DF8" s="95"/>
      <c r="DG8" s="782"/>
      <c r="DH8" s="92"/>
      <c r="DI8" s="95"/>
      <c r="DJ8" s="782"/>
      <c r="DK8" s="92"/>
      <c r="DL8" s="95"/>
      <c r="DM8" s="782"/>
      <c r="DN8" s="92"/>
      <c r="DO8" s="95"/>
      <c r="DP8" s="782"/>
      <c r="DQ8" s="92"/>
      <c r="DR8" s="95"/>
      <c r="DS8" s="782"/>
      <c r="DT8" s="92"/>
      <c r="DU8" s="95"/>
      <c r="DV8" s="782"/>
      <c r="DW8" s="92"/>
      <c r="DX8" s="95"/>
      <c r="DY8" s="782"/>
      <c r="DZ8" s="92"/>
      <c r="EA8" s="95"/>
      <c r="EB8" s="782"/>
      <c r="EC8" s="92"/>
      <c r="ED8" s="95"/>
      <c r="EE8" s="782"/>
      <c r="EF8" s="92"/>
      <c r="EG8" s="95"/>
      <c r="EH8" s="782"/>
      <c r="EI8" s="92"/>
      <c r="EJ8" s="95"/>
      <c r="EK8" s="782"/>
      <c r="EL8" s="92"/>
      <c r="EM8" s="95"/>
      <c r="EN8" s="782"/>
      <c r="EO8" s="92"/>
      <c r="EP8" s="95"/>
      <c r="EQ8" s="782"/>
      <c r="ER8" s="92"/>
      <c r="ES8" s="95"/>
      <c r="ET8" s="782"/>
      <c r="EU8" s="92"/>
      <c r="EV8" s="95"/>
      <c r="EW8" s="782"/>
      <c r="EX8" s="92"/>
      <c r="EY8" s="95"/>
      <c r="EZ8" s="782"/>
      <c r="FA8" s="92"/>
      <c r="FB8" s="95"/>
      <c r="FC8" s="782"/>
      <c r="FD8" s="92"/>
      <c r="FE8" s="95"/>
      <c r="FF8" s="782"/>
      <c r="FG8" s="92"/>
      <c r="FH8" s="95"/>
      <c r="FI8" s="782"/>
      <c r="FJ8" s="92"/>
      <c r="FK8" s="95"/>
      <c r="FL8" s="782"/>
      <c r="FM8" s="92"/>
      <c r="FN8" s="95"/>
      <c r="FO8" s="782"/>
      <c r="FP8" s="92"/>
      <c r="FQ8" s="95"/>
      <c r="FR8" s="782"/>
      <c r="FS8" s="92"/>
      <c r="FT8" s="95"/>
      <c r="FU8" s="782"/>
      <c r="FV8" s="92"/>
      <c r="FW8" s="95"/>
      <c r="FX8" s="782"/>
      <c r="FY8" s="92"/>
      <c r="FZ8" s="95"/>
      <c r="GA8" s="782"/>
      <c r="GB8" s="92"/>
      <c r="GC8" s="95"/>
      <c r="GD8" s="782"/>
      <c r="GE8" s="92"/>
      <c r="GF8" s="95"/>
      <c r="GG8" s="782"/>
      <c r="GH8" s="92"/>
      <c r="GI8" s="95"/>
      <c r="GJ8" s="782"/>
      <c r="GK8" s="92"/>
      <c r="GL8" s="95"/>
      <c r="GM8" s="782"/>
      <c r="GN8" s="92"/>
      <c r="GO8" s="95"/>
      <c r="GP8" s="782"/>
      <c r="GQ8" s="92"/>
      <c r="GR8" s="95"/>
      <c r="GS8" s="782"/>
      <c r="GT8" s="92"/>
      <c r="GU8" s="95"/>
      <c r="GV8" s="782"/>
      <c r="GW8" s="92"/>
      <c r="GX8" s="95"/>
      <c r="GY8" s="782"/>
      <c r="GZ8" s="92"/>
      <c r="HA8" s="95"/>
      <c r="HB8" s="782"/>
      <c r="HC8" s="92"/>
      <c r="HD8" s="95"/>
      <c r="HE8" s="782"/>
      <c r="HF8" s="92"/>
      <c r="HG8" s="95"/>
      <c r="HH8" s="782"/>
      <c r="HI8" s="92"/>
      <c r="HJ8" s="95"/>
      <c r="HK8" s="782"/>
      <c r="HL8" s="92"/>
      <c r="HM8" s="95"/>
      <c r="HN8" s="782"/>
      <c r="HO8" s="92"/>
      <c r="HP8" s="95"/>
      <c r="HQ8" s="782"/>
      <c r="HR8" s="92"/>
      <c r="HS8" s="95"/>
      <c r="HT8" s="782"/>
      <c r="HU8" s="92"/>
      <c r="HV8" s="95"/>
      <c r="HW8" s="782"/>
      <c r="HX8" s="92"/>
      <c r="HY8" s="95"/>
      <c r="HZ8" s="782"/>
      <c r="IA8" s="92"/>
      <c r="IB8" s="95"/>
      <c r="IC8" s="782"/>
      <c r="ID8" s="92"/>
      <c r="IE8" s="95"/>
      <c r="IF8" s="782"/>
      <c r="IG8" s="92"/>
      <c r="IH8" s="95"/>
      <c r="II8" s="782"/>
      <c r="IJ8" s="92"/>
      <c r="IK8" s="95"/>
      <c r="IL8" s="782"/>
      <c r="IM8" s="92"/>
      <c r="IN8" s="95"/>
      <c r="IO8" s="782"/>
      <c r="IP8" s="92"/>
      <c r="IQ8" s="95"/>
      <c r="IR8" s="782"/>
      <c r="IS8" s="92"/>
      <c r="IT8" s="95"/>
      <c r="IU8" s="782"/>
      <c r="IV8" s="92"/>
    </row>
    <row r="9" spans="1:256" x14ac:dyDescent="0.2">
      <c r="A9" s="715"/>
      <c r="B9" s="715"/>
      <c r="C9" s="715"/>
      <c r="D9" s="135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256" x14ac:dyDescent="0.2">
      <c r="A10" s="92"/>
      <c r="B10" s="92"/>
      <c r="C10" s="92"/>
    </row>
    <row r="11" spans="1:256" x14ac:dyDescent="0.2">
      <c r="A11" s="92"/>
      <c r="B11" s="92"/>
      <c r="C11" s="92"/>
    </row>
  </sheetData>
  <mergeCells count="1">
    <mergeCell ref="A3:B3"/>
  </mergeCells>
  <phoneticPr fontId="4" type="noConversion"/>
  <pageMargins left="1.1811023622047245" right="0" top="0.43307086614173229" bottom="0.15748031496062992" header="0" footer="0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7030A0"/>
  </sheetPr>
  <dimension ref="A1:X20"/>
  <sheetViews>
    <sheetView view="pageBreakPreview" zoomScale="90" zoomScaleNormal="100" zoomScaleSheetLayoutView="90" workbookViewId="0">
      <pane xSplit="1" ySplit="4" topLeftCell="G5" activePane="bottomRight" state="frozen"/>
      <selection activeCell="E30" sqref="E30"/>
      <selection pane="topRight" activeCell="E30" sqref="E30"/>
      <selection pane="bottomLeft" activeCell="E30" sqref="E30"/>
      <selection pane="bottomRight" activeCell="H7" sqref="H7"/>
    </sheetView>
  </sheetViews>
  <sheetFormatPr defaultRowHeight="21.75" x14ac:dyDescent="0.5"/>
  <cols>
    <col min="1" max="1" width="27" style="98" customWidth="1"/>
    <col min="2" max="2" width="15.85546875" style="98" customWidth="1"/>
    <col min="3" max="3" width="14.85546875" style="98" customWidth="1"/>
    <col min="4" max="4" width="14.5703125" style="98" customWidth="1"/>
    <col min="5" max="5" width="15.42578125" style="98" customWidth="1"/>
    <col min="6" max="6" width="6.5703125" style="98" customWidth="1"/>
    <col min="7" max="7" width="6.85546875" style="98" customWidth="1"/>
    <col min="8" max="8" width="15.28515625" style="98" customWidth="1"/>
    <col min="9" max="9" width="15.7109375" style="98" customWidth="1"/>
    <col min="10" max="10" width="14.28515625" style="98" customWidth="1"/>
    <col min="11" max="11" width="14.5703125" style="98" customWidth="1"/>
    <col min="12" max="12" width="15.85546875" style="98" customWidth="1"/>
    <col min="13" max="13" width="7.140625" style="98" bestFit="1" customWidth="1"/>
    <col min="14" max="14" width="8.42578125" style="98" customWidth="1"/>
    <col min="15" max="15" width="15.28515625" style="98" customWidth="1"/>
    <col min="16" max="16" width="8.42578125" style="98" customWidth="1"/>
    <col min="17" max="17" width="8.140625" style="98" customWidth="1"/>
    <col min="18" max="19" width="7.7109375" style="98" customWidth="1"/>
    <col min="20" max="16384" width="9.140625" style="98"/>
  </cols>
  <sheetData>
    <row r="1" spans="1:24" s="96" customFormat="1" ht="24" x14ac:dyDescent="0.55000000000000004">
      <c r="A1" s="1558" t="s">
        <v>391</v>
      </c>
      <c r="B1" s="1558"/>
      <c r="C1" s="1558"/>
      <c r="D1" s="1558"/>
      <c r="E1" s="1558"/>
      <c r="F1" s="1558"/>
      <c r="G1" s="1558"/>
      <c r="H1" s="1558"/>
      <c r="I1" s="1558"/>
      <c r="J1" s="1558"/>
      <c r="K1" s="1558"/>
      <c r="L1" s="1558"/>
      <c r="M1" s="1558"/>
      <c r="N1" s="1558"/>
      <c r="O1" s="1558"/>
      <c r="P1" s="1558"/>
      <c r="Q1" s="1558"/>
      <c r="R1" s="1558"/>
      <c r="S1" s="1558"/>
    </row>
    <row r="2" spans="1:24" s="96" customFormat="1" ht="24.75" thickBot="1" x14ac:dyDescent="0.6">
      <c r="A2" s="97" t="s">
        <v>399</v>
      </c>
      <c r="Q2" s="98" t="s">
        <v>187</v>
      </c>
    </row>
    <row r="3" spans="1:24" x14ac:dyDescent="0.5">
      <c r="A3" s="1559" t="s">
        <v>86</v>
      </c>
      <c r="B3" s="1561" t="s">
        <v>326</v>
      </c>
      <c r="C3" s="1546"/>
      <c r="D3" s="1546"/>
      <c r="E3" s="1546"/>
      <c r="F3" s="1546"/>
      <c r="G3" s="1546"/>
      <c r="H3" s="1547"/>
      <c r="I3" s="1561" t="s">
        <v>392</v>
      </c>
      <c r="J3" s="1546"/>
      <c r="K3" s="1546"/>
      <c r="L3" s="1546"/>
      <c r="M3" s="1546"/>
      <c r="N3" s="1546"/>
      <c r="O3" s="1547"/>
      <c r="P3" s="1509" t="s">
        <v>120</v>
      </c>
      <c r="Q3" s="1510"/>
      <c r="R3" s="1511"/>
      <c r="S3" s="99"/>
    </row>
    <row r="4" spans="1:24" ht="108.75" x14ac:dyDescent="0.5">
      <c r="A4" s="1560"/>
      <c r="B4" s="790" t="s">
        <v>67</v>
      </c>
      <c r="C4" s="788" t="s">
        <v>69</v>
      </c>
      <c r="D4" s="788" t="s">
        <v>77</v>
      </c>
      <c r="E4" s="788" t="s">
        <v>78</v>
      </c>
      <c r="F4" s="788" t="s">
        <v>83</v>
      </c>
      <c r="G4" s="788" t="s">
        <v>81</v>
      </c>
      <c r="H4" s="789" t="s">
        <v>88</v>
      </c>
      <c r="I4" s="790" t="s">
        <v>67</v>
      </c>
      <c r="J4" s="788" t="s">
        <v>69</v>
      </c>
      <c r="K4" s="788" t="s">
        <v>77</v>
      </c>
      <c r="L4" s="788" t="s">
        <v>78</v>
      </c>
      <c r="M4" s="788" t="s">
        <v>83</v>
      </c>
      <c r="N4" s="788" t="s">
        <v>81</v>
      </c>
      <c r="O4" s="100" t="s">
        <v>88</v>
      </c>
      <c r="P4" s="101" t="s">
        <v>121</v>
      </c>
      <c r="Q4" s="788" t="s">
        <v>122</v>
      </c>
      <c r="R4" s="789" t="s">
        <v>123</v>
      </c>
      <c r="W4" s="98" t="s">
        <v>83</v>
      </c>
      <c r="X4" s="98" t="s">
        <v>81</v>
      </c>
    </row>
    <row r="5" spans="1:24" s="102" customFormat="1" ht="43.5" x14ac:dyDescent="0.2">
      <c r="A5" s="485" t="s">
        <v>528</v>
      </c>
      <c r="B5" s="1431">
        <v>5571231.2671303693</v>
      </c>
      <c r="C5" s="106">
        <v>466141.42142138752</v>
      </c>
      <c r="D5" s="106">
        <v>122545.95314130517</v>
      </c>
      <c r="E5" s="106">
        <f>SUM(B5:D5)</f>
        <v>6156213.5797978472</v>
      </c>
      <c r="F5" s="1432">
        <v>3</v>
      </c>
      <c r="G5" s="1433" t="s">
        <v>28</v>
      </c>
      <c r="H5" s="163">
        <f>+E5/F5</f>
        <v>2052071.1932659491</v>
      </c>
      <c r="I5" s="1431">
        <f>+'ต. 6 ผลผลิตหลัก-จาก ต.4-61 '!B5</f>
        <v>5366147.8044980057</v>
      </c>
      <c r="J5" s="1434">
        <f>+'ต. 6 ผลผลิตหลัก-จาก ต.4-61 '!C5</f>
        <v>435095.33042029059</v>
      </c>
      <c r="K5" s="1434">
        <f>+'ต. 6 ผลผลิตหลัก-จาก ต.4-61 '!D5</f>
        <v>173106.25873316487</v>
      </c>
      <c r="L5" s="104">
        <f>SUM(I5:K5)</f>
        <v>5974349.3936514612</v>
      </c>
      <c r="M5" s="1435">
        <f>+'ต. 6 ผลผลิตหลัก-จาก ต.4-61 '!F5</f>
        <v>3</v>
      </c>
      <c r="N5" s="1435" t="str">
        <f>+'ต. 6 ผลผลิตหลัก-จาก ต.4-61 '!G5</f>
        <v>ครั้ง</v>
      </c>
      <c r="O5" s="104">
        <f>+L5/M5</f>
        <v>1991449.7978838205</v>
      </c>
      <c r="P5" s="105">
        <f t="shared" ref="P5:Q7" si="0">+L5/E5*100-100</f>
        <v>-2.9541565410139299</v>
      </c>
      <c r="Q5" s="106">
        <f t="shared" si="0"/>
        <v>0</v>
      </c>
      <c r="R5" s="107">
        <f>+O5/H5*100-100</f>
        <v>-2.9541565410139299</v>
      </c>
      <c r="W5" s="102">
        <v>3</v>
      </c>
      <c r="X5" s="102" t="s">
        <v>28</v>
      </c>
    </row>
    <row r="6" spans="1:24" s="102" customFormat="1" ht="65.25" x14ac:dyDescent="0.2">
      <c r="A6" s="485" t="s">
        <v>536</v>
      </c>
      <c r="B6" s="1431">
        <v>7500323.8894135412</v>
      </c>
      <c r="C6" s="106">
        <v>487354.17160433589</v>
      </c>
      <c r="D6" s="106">
        <v>2197193.5477545918</v>
      </c>
      <c r="E6" s="106">
        <f>SUM(B6:D6)</f>
        <v>10184875.313123859</v>
      </c>
      <c r="F6" s="1432">
        <v>1</v>
      </c>
      <c r="G6" s="1433" t="s">
        <v>274</v>
      </c>
      <c r="H6" s="163">
        <f>+E6/F6</f>
        <v>10184875.313123859</v>
      </c>
      <c r="I6" s="1431">
        <f>+'ต. 6 ผลผลิตหลัก-จาก ต.4-61 '!B6</f>
        <v>8323931.3664041217</v>
      </c>
      <c r="J6" s="1434">
        <f>+'ต. 6 ผลผลิตหลัก-จาก ต.4-61 '!C6</f>
        <v>451323.386548132</v>
      </c>
      <c r="K6" s="1434">
        <f>+'ต. 6 ผลผลิตหลัก-จาก ต.4-61 '!D6</f>
        <v>2000736.8361125086</v>
      </c>
      <c r="L6" s="104">
        <f>SUM(I6:K6)</f>
        <v>10775991.589064762</v>
      </c>
      <c r="M6" s="1435">
        <f>+'ต. 6 ผลผลิตหลัก-จาก ต.4-61 '!F6</f>
        <v>1</v>
      </c>
      <c r="N6" s="1435" t="str">
        <f>+'ต. 6 ผลผลิตหลัก-จาก ต.4-61 '!G6</f>
        <v>โครงการ</v>
      </c>
      <c r="O6" s="104">
        <f>+L6/M6</f>
        <v>10775991.589064762</v>
      </c>
      <c r="P6" s="105">
        <f t="shared" si="0"/>
        <v>5.8038636484750299</v>
      </c>
      <c r="Q6" s="106">
        <f t="shared" si="0"/>
        <v>0</v>
      </c>
      <c r="R6" s="107">
        <f>+O6/H6*100-100</f>
        <v>5.8038636484750299</v>
      </c>
      <c r="W6" s="102">
        <v>1</v>
      </c>
      <c r="X6" s="102" t="s">
        <v>274</v>
      </c>
    </row>
    <row r="7" spans="1:24" s="102" customFormat="1" ht="65.25" x14ac:dyDescent="0.2">
      <c r="A7" s="485" t="s">
        <v>537</v>
      </c>
      <c r="B7" s="1431">
        <v>1283258.5404543479</v>
      </c>
      <c r="C7" s="106">
        <v>83383.252797929337</v>
      </c>
      <c r="D7" s="106">
        <v>375926.08356113714</v>
      </c>
      <c r="E7" s="106">
        <f>SUM(B7:D7)</f>
        <v>1742568.5106047853</v>
      </c>
      <c r="F7" s="1432">
        <v>882</v>
      </c>
      <c r="G7" s="1433" t="s">
        <v>325</v>
      </c>
      <c r="H7" s="163">
        <f>+E7/F7</f>
        <v>1975.7012591890989</v>
      </c>
      <c r="I7" s="1431">
        <f>+'ต. 6 ผลผลิตหลัก-จาก ต.4-61 '!B10</f>
        <v>1424172.632220705</v>
      </c>
      <c r="J7" s="1434">
        <f>+'ต. 6 ผลผลิตหลัก-จาก ต.4-61 '!C10</f>
        <v>77218.610667219458</v>
      </c>
      <c r="K7" s="1434">
        <f>+'ต. 6 ผลผลิตหลัก-จาก ต.4-61 '!D10</f>
        <v>342313.56805362453</v>
      </c>
      <c r="L7" s="104">
        <f>SUM(I7:K7)</f>
        <v>1843704.810941549</v>
      </c>
      <c r="M7" s="1435">
        <f>+'ต. 6 ผลผลิตหลัก-จาก ต.4-61 '!F10</f>
        <v>882</v>
      </c>
      <c r="N7" s="1435" t="str">
        <f>+'ต. 6 ผลผลิตหลัก-จาก ต.4-61 '!G10</f>
        <v>ศูนย์</v>
      </c>
      <c r="O7" s="104">
        <f>+L7/M7</f>
        <v>2090.3682663736386</v>
      </c>
      <c r="P7" s="105">
        <f t="shared" si="0"/>
        <v>5.8038636484750299</v>
      </c>
      <c r="Q7" s="106">
        <f t="shared" si="0"/>
        <v>0</v>
      </c>
      <c r="R7" s="107">
        <f>+O7/H7*100-100</f>
        <v>5.8038636484750299</v>
      </c>
      <c r="W7" s="102">
        <v>882</v>
      </c>
      <c r="X7" s="102" t="s">
        <v>325</v>
      </c>
    </row>
    <row r="8" spans="1:24" s="259" customFormat="1" ht="43.5" x14ac:dyDescent="0.2">
      <c r="A8" s="1436" t="s">
        <v>538</v>
      </c>
      <c r="B8" s="757">
        <v>532864298.19248116</v>
      </c>
      <c r="C8" s="160">
        <v>39197717.604505628</v>
      </c>
      <c r="D8" s="160">
        <v>39541168.694130398</v>
      </c>
      <c r="E8" s="160">
        <f t="shared" ref="E8:E13" si="1">SUM(B8:D8)</f>
        <v>553173549.32262707</v>
      </c>
      <c r="F8" s="758">
        <v>6</v>
      </c>
      <c r="G8" s="759" t="s">
        <v>165</v>
      </c>
      <c r="H8" s="163">
        <f t="shared" ref="H8:H13" si="2">+E8/F8</f>
        <v>92195591.553771183</v>
      </c>
      <c r="I8" s="757">
        <f>+'ต. 6 ผลผลิตหลัก-จาก ต.4-61 '!B4</f>
        <v>487926220.41698688</v>
      </c>
      <c r="J8" s="104">
        <f>+'ต. 6 ผลผลิตหลัก-จาก ต.4-61 '!C4</f>
        <v>35271848.094197623</v>
      </c>
      <c r="K8" s="104">
        <f>+'ต. 6 ผลผลิตหลัก-จาก ต.4-61 '!D4</f>
        <v>36541055.353636205</v>
      </c>
      <c r="L8" s="104">
        <f t="shared" ref="L8:L15" si="3">SUM(I8:K8)</f>
        <v>559739123.86482072</v>
      </c>
      <c r="M8" s="1437">
        <f>+'ต. 6 ผลผลิตหลัก-จาก ต.4-61 '!F4</f>
        <v>6</v>
      </c>
      <c r="N8" s="1437" t="str">
        <f>+'ต. 6 ผลผลิตหลัก-จาก ต.4-61 '!G4</f>
        <v>ด้าน</v>
      </c>
      <c r="O8" s="104">
        <f t="shared" ref="O8:O13" si="4">+L8/M8</f>
        <v>93289853.977470115</v>
      </c>
      <c r="P8" s="760">
        <f t="shared" ref="P8:P13" si="5">+L8/E8*100-100</f>
        <v>1.1868923505531654</v>
      </c>
      <c r="Q8" s="160">
        <f t="shared" ref="Q8:Q13" si="6">+M8/F8*100-100</f>
        <v>0</v>
      </c>
      <c r="R8" s="163">
        <f t="shared" ref="R8:R13" si="7">+O8/H8*100-100</f>
        <v>1.186892350553137</v>
      </c>
      <c r="S8" s="113"/>
      <c r="W8" s="259">
        <v>6</v>
      </c>
      <c r="X8" s="259" t="s">
        <v>165</v>
      </c>
    </row>
    <row r="9" spans="1:24" s="102" customFormat="1" ht="65.25" x14ac:dyDescent="0.5">
      <c r="A9" s="1438" t="s">
        <v>583</v>
      </c>
      <c r="B9" s="1431">
        <v>1238051.3926956377</v>
      </c>
      <c r="C9" s="106">
        <v>103586.9825380861</v>
      </c>
      <c r="D9" s="106">
        <v>27232.434031401142</v>
      </c>
      <c r="E9" s="106">
        <f t="shared" si="1"/>
        <v>1368047.4621772994</v>
      </c>
      <c r="F9" s="1432">
        <v>1</v>
      </c>
      <c r="G9" s="1433" t="s">
        <v>1</v>
      </c>
      <c r="H9" s="163">
        <f t="shared" si="2"/>
        <v>1368047.4621772994</v>
      </c>
      <c r="I9" s="1431"/>
      <c r="J9" s="1434"/>
      <c r="K9" s="1434"/>
      <c r="L9" s="104">
        <f t="shared" si="3"/>
        <v>0</v>
      </c>
      <c r="M9" s="1435"/>
      <c r="N9" s="1435"/>
      <c r="O9" s="104" t="e">
        <f t="shared" si="4"/>
        <v>#DIV/0!</v>
      </c>
      <c r="P9" s="105">
        <f t="shared" si="5"/>
        <v>-100</v>
      </c>
      <c r="Q9" s="106">
        <f t="shared" si="6"/>
        <v>-100</v>
      </c>
      <c r="R9" s="107" t="e">
        <f t="shared" si="7"/>
        <v>#DIV/0!</v>
      </c>
    </row>
    <row r="10" spans="1:24" s="102" customFormat="1" ht="43.5" x14ac:dyDescent="0.2">
      <c r="A10" s="159" t="s">
        <v>539</v>
      </c>
      <c r="B10" s="1431">
        <v>4204282.1904008519</v>
      </c>
      <c r="C10" s="106">
        <v>342315.74576043407</v>
      </c>
      <c r="D10" s="106">
        <v>97585.254756278184</v>
      </c>
      <c r="E10" s="106">
        <f t="shared" si="1"/>
        <v>4655213.3770953827</v>
      </c>
      <c r="F10" s="1432">
        <v>1</v>
      </c>
      <c r="G10" s="1433" t="s">
        <v>1</v>
      </c>
      <c r="H10" s="163">
        <f t="shared" si="2"/>
        <v>4655213.3770953827</v>
      </c>
      <c r="I10" s="1431">
        <f>+'ต. 6 ผลผลิตหลัก-จาก ต.4-61 '!B7</f>
        <v>4565147.6462550946</v>
      </c>
      <c r="J10" s="1434">
        <f>+'ต. 6 ผลผลิตหลัก-จาก ต.4-61 '!C7</f>
        <v>323452.99376274052</v>
      </c>
      <c r="K10" s="1434">
        <f>+'ต. 6 ผลผลิตหลัก-จาก ต.4-61 '!D7</f>
        <v>158446.68369027693</v>
      </c>
      <c r="L10" s="104">
        <f t="shared" si="3"/>
        <v>5047047.3237081124</v>
      </c>
      <c r="M10" s="1435">
        <f>+'ต. 6 ผลผลิตหลัก-จาก ต.4-61 '!F7</f>
        <v>1</v>
      </c>
      <c r="N10" s="1435" t="str">
        <f>+'ต. 6 ผลผลิตหลัก-จาก ต.4-61 '!G7</f>
        <v>เรื่อง</v>
      </c>
      <c r="O10" s="104">
        <f t="shared" si="4"/>
        <v>5047047.3237081124</v>
      </c>
      <c r="P10" s="105">
        <f t="shared" si="5"/>
        <v>8.4170996015055835</v>
      </c>
      <c r="Q10" s="106">
        <f t="shared" si="6"/>
        <v>0</v>
      </c>
      <c r="R10" s="107">
        <f t="shared" si="7"/>
        <v>8.4170996015055835</v>
      </c>
      <c r="W10" s="102">
        <v>1</v>
      </c>
      <c r="X10" s="102" t="s">
        <v>1</v>
      </c>
    </row>
    <row r="11" spans="1:24" s="102" customFormat="1" x14ac:dyDescent="0.5">
      <c r="A11" s="1439" t="s">
        <v>529</v>
      </c>
      <c r="B11" s="1431">
        <v>1064176.1654007144</v>
      </c>
      <c r="C11" s="106">
        <v>86646.005473027573</v>
      </c>
      <c r="D11" s="106">
        <v>24700.507126589117</v>
      </c>
      <c r="E11" s="106">
        <f t="shared" si="1"/>
        <v>1178314.6079181577</v>
      </c>
      <c r="F11" s="1432">
        <v>1</v>
      </c>
      <c r="G11" s="1433" t="s">
        <v>1</v>
      </c>
      <c r="H11" s="163">
        <f t="shared" si="2"/>
        <v>1178314.6079181577</v>
      </c>
      <c r="I11" s="1431">
        <f>+'ต. 6 ผลผลิตหลัก-จาก ต.4-61 '!B8</f>
        <v>1155517.4216830228</v>
      </c>
      <c r="J11" s="1434">
        <f>+'ต. 6 ผลผลิตหลัก-จาก ต.4-61 '!C8</f>
        <v>81871.518371366983</v>
      </c>
      <c r="K11" s="1434">
        <f>+'ต. 6 ผลผลิตหลัก-จาก ต.4-61 '!D8</f>
        <v>40105.582031329439</v>
      </c>
      <c r="L11" s="104">
        <f t="shared" si="3"/>
        <v>1277494.522085719</v>
      </c>
      <c r="M11" s="1435">
        <f>+'ต. 6 ผลผลิตหลัก-จาก ต.4-61 '!F8</f>
        <v>1</v>
      </c>
      <c r="N11" s="1435" t="str">
        <f>+'ต. 6 ผลผลิตหลัก-จาก ต.4-61 '!G8</f>
        <v>เรื่อง</v>
      </c>
      <c r="O11" s="104">
        <f t="shared" si="4"/>
        <v>1277494.522085719</v>
      </c>
      <c r="P11" s="105">
        <f t="shared" si="5"/>
        <v>8.4170996015055835</v>
      </c>
      <c r="Q11" s="106">
        <f t="shared" si="6"/>
        <v>0</v>
      </c>
      <c r="R11" s="107">
        <f t="shared" si="7"/>
        <v>8.4170996015055835</v>
      </c>
      <c r="W11" s="102">
        <v>1</v>
      </c>
      <c r="X11" s="102" t="s">
        <v>1</v>
      </c>
    </row>
    <row r="12" spans="1:24" s="102" customFormat="1" ht="43.5" x14ac:dyDescent="0.2">
      <c r="A12" s="159" t="s">
        <v>540</v>
      </c>
      <c r="B12" s="1431">
        <v>1064176.1654007144</v>
      </c>
      <c r="C12" s="106">
        <v>86646.005473027573</v>
      </c>
      <c r="D12" s="106">
        <v>24700.507126589117</v>
      </c>
      <c r="E12" s="106">
        <f t="shared" si="1"/>
        <v>1178314.6079181577</v>
      </c>
      <c r="F12" s="1432">
        <v>1</v>
      </c>
      <c r="G12" s="1433" t="s">
        <v>1</v>
      </c>
      <c r="H12" s="163">
        <f t="shared" si="2"/>
        <v>1178314.6079181577</v>
      </c>
      <c r="I12" s="1431">
        <f>+'ต. 6 ผลผลิตหลัก-จาก ต.4-61 '!B9</f>
        <v>1155517.4216830228</v>
      </c>
      <c r="J12" s="1434">
        <f>+'ต. 6 ผลผลิตหลัก-จาก ต.4-61 '!C9</f>
        <v>81871.518371366983</v>
      </c>
      <c r="K12" s="1434">
        <f>+'ต. 6 ผลผลิตหลัก-จาก ต.4-61 '!D9</f>
        <v>40105.582031329439</v>
      </c>
      <c r="L12" s="104">
        <f t="shared" si="3"/>
        <v>1277494.522085719</v>
      </c>
      <c r="M12" s="1435">
        <f>+'ต. 6 ผลผลิตหลัก-จาก ต.4-61 '!F9</f>
        <v>1</v>
      </c>
      <c r="N12" s="1435" t="str">
        <f>+'ต. 6 ผลผลิตหลัก-จาก ต.4-61 '!G9</f>
        <v>เรื่อง</v>
      </c>
      <c r="O12" s="104">
        <f t="shared" si="4"/>
        <v>1277494.522085719</v>
      </c>
      <c r="P12" s="105">
        <f t="shared" si="5"/>
        <v>8.4170996015055835</v>
      </c>
      <c r="Q12" s="106">
        <f t="shared" si="6"/>
        <v>0</v>
      </c>
      <c r="R12" s="107">
        <f t="shared" si="7"/>
        <v>8.4170996015055835</v>
      </c>
      <c r="W12" s="102">
        <v>1</v>
      </c>
      <c r="X12" s="102" t="s">
        <v>1</v>
      </c>
    </row>
    <row r="13" spans="1:24" s="102" customFormat="1" x14ac:dyDescent="0.2">
      <c r="A13" s="159" t="s">
        <v>541</v>
      </c>
      <c r="B13" s="1431">
        <v>1250431.9066225942</v>
      </c>
      <c r="C13" s="106">
        <v>104622.85236346698</v>
      </c>
      <c r="D13" s="106">
        <v>27504.758371715154</v>
      </c>
      <c r="E13" s="106">
        <f t="shared" si="1"/>
        <v>1381727.9367990727</v>
      </c>
      <c r="F13" s="1432">
        <v>1</v>
      </c>
      <c r="G13" s="1433" t="s">
        <v>1</v>
      </c>
      <c r="H13" s="163">
        <f t="shared" si="2"/>
        <v>1381727.9367990727</v>
      </c>
      <c r="I13" s="1431">
        <f>+'ต. 6 ผลผลิตหลัก-จาก ต.4-61 '!B11</f>
        <v>1204402.0627873302</v>
      </c>
      <c r="J13" s="1434">
        <f>+'ต. 6 ผลผลิตหลัก-จาก ต.4-61 '!C11</f>
        <v>97654.729716554109</v>
      </c>
      <c r="K13" s="1434">
        <f>+'ต. 6 ผลผลิตหลัก-จาก ต.4-61 '!D11</f>
        <v>38852.738071221451</v>
      </c>
      <c r="L13" s="104">
        <f t="shared" si="3"/>
        <v>1340909.5305751057</v>
      </c>
      <c r="M13" s="1435">
        <f>+'ต. 6 ผลผลิตหลัก-จาก ต.4-61 '!F11</f>
        <v>1</v>
      </c>
      <c r="N13" s="1435" t="str">
        <f>+'ต. 6 ผลผลิตหลัก-จาก ต.4-61 '!G11</f>
        <v>เรื่อง</v>
      </c>
      <c r="O13" s="104">
        <f t="shared" si="4"/>
        <v>1340909.5305751057</v>
      </c>
      <c r="P13" s="105">
        <f t="shared" si="5"/>
        <v>-2.9541565410139583</v>
      </c>
      <c r="Q13" s="106">
        <f t="shared" si="6"/>
        <v>0</v>
      </c>
      <c r="R13" s="107">
        <f t="shared" si="7"/>
        <v>-2.9541565410139583</v>
      </c>
      <c r="W13" s="102">
        <v>1</v>
      </c>
      <c r="X13" s="102" t="s">
        <v>1</v>
      </c>
    </row>
    <row r="14" spans="1:24" s="102" customFormat="1" ht="87" x14ac:dyDescent="0.2">
      <c r="A14" s="159" t="s">
        <v>530</v>
      </c>
      <c r="B14" s="1431"/>
      <c r="C14" s="106"/>
      <c r="D14" s="106"/>
      <c r="E14" s="106"/>
      <c r="F14" s="1432"/>
      <c r="G14" s="1433"/>
      <c r="H14" s="163"/>
      <c r="I14" s="105">
        <f>+'ต. 6 ผลผลิตหลัก-จาก ต.4-61 '!B12</f>
        <v>52860902.620575279</v>
      </c>
      <c r="J14" s="106">
        <f>+'ต. 6 ผลผลิตหลัก-จาก ต.4-61 '!C12</f>
        <v>3833345.7644845448</v>
      </c>
      <c r="K14" s="1434">
        <f>+'ต. 6 ผลผลิตหลัก-จาก ต.4-61 '!D12</f>
        <v>1404801.972948499</v>
      </c>
      <c r="L14" s="104">
        <f t="shared" si="3"/>
        <v>58099050.358008325</v>
      </c>
      <c r="M14" s="1435">
        <f>+'ต. 6 ผลผลิตหลัก-จาก ต.4-61 '!F12</f>
        <v>28</v>
      </c>
      <c r="N14" s="1435" t="str">
        <f>+'ต. 6 ผลผลิตหลัก-จาก ต.4-61 '!G12</f>
        <v>สินค้า</v>
      </c>
      <c r="O14" s="104">
        <f>+L14/M14</f>
        <v>2074966.084214583</v>
      </c>
      <c r="P14" s="105" t="e">
        <f>+L14/E14*100-100</f>
        <v>#DIV/0!</v>
      </c>
      <c r="Q14" s="106">
        <f>+M14/F14*100-100</f>
        <v>3.7037037037036953</v>
      </c>
      <c r="R14" s="107" t="e">
        <f>+O14/H14*100-100</f>
        <v>#DIV/0!</v>
      </c>
      <c r="W14" s="102">
        <v>28</v>
      </c>
      <c r="X14" s="102" t="s">
        <v>7</v>
      </c>
    </row>
    <row r="15" spans="1:24" s="102" customFormat="1" ht="65.25" x14ac:dyDescent="0.2">
      <c r="A15" s="485" t="s">
        <v>531</v>
      </c>
      <c r="B15" s="1431"/>
      <c r="C15" s="106"/>
      <c r="D15" s="106"/>
      <c r="E15" s="106"/>
      <c r="F15" s="1432"/>
      <c r="G15" s="1433"/>
      <c r="H15" s="163"/>
      <c r="I15" s="105">
        <f>+'ต. 6 ผลผลิตหลัก-จาก ต.4-61 '!B13</f>
        <v>13038658.116906453</v>
      </c>
      <c r="J15" s="106">
        <f>+'ต. 6 ผลผลิตหลัก-จาก ต.4-61 '!C13</f>
        <v>706955.77346015978</v>
      </c>
      <c r="K15" s="1434">
        <f>+'ต. 6 ผลผลิตหลัก-จาก ต.4-61 '!D13</f>
        <v>3133966.6846918589</v>
      </c>
      <c r="L15" s="104">
        <f t="shared" si="3"/>
        <v>16879580.575058471</v>
      </c>
      <c r="M15" s="1440">
        <f>+'ต. 6 ผลผลิตหลัก-จาก ต.4-61 '!F13</f>
        <v>15</v>
      </c>
      <c r="N15" s="1440" t="str">
        <f>+'ต. 6 ผลผลิตหลัก-จาก ต.4-61 '!G13</f>
        <v>สินค้า</v>
      </c>
      <c r="O15" s="104">
        <f>+L15/M15</f>
        <v>1125305.3716705649</v>
      </c>
      <c r="P15" s="105" t="e">
        <f>+L15/E15*100-100</f>
        <v>#DIV/0!</v>
      </c>
      <c r="Q15" s="106" t="e">
        <f>+M15/F15*100-100</f>
        <v>#DIV/0!</v>
      </c>
      <c r="R15" s="107" t="e">
        <f>+O15/H15*100-100</f>
        <v>#DIV/0!</v>
      </c>
      <c r="W15" s="102">
        <v>15</v>
      </c>
      <c r="X15" s="102" t="s">
        <v>7</v>
      </c>
    </row>
    <row r="16" spans="1:24" s="102" customFormat="1" ht="12" customHeight="1" x14ac:dyDescent="0.2">
      <c r="A16" s="615"/>
      <c r="B16" s="109"/>
      <c r="C16" s="115"/>
      <c r="D16" s="115"/>
      <c r="E16" s="235">
        <f>SUM(B16:D16)</f>
        <v>0</v>
      </c>
      <c r="F16" s="616"/>
      <c r="G16" s="617"/>
      <c r="H16" s="618"/>
      <c r="I16" s="114"/>
      <c r="J16" s="115"/>
      <c r="K16" s="110"/>
      <c r="L16" s="111"/>
      <c r="M16" s="112"/>
      <c r="N16" s="110"/>
      <c r="O16" s="113"/>
      <c r="P16" s="114"/>
      <c r="Q16" s="115"/>
      <c r="R16" s="116"/>
    </row>
    <row r="17" spans="1:18" s="124" customFormat="1" ht="22.5" thickBot="1" x14ac:dyDescent="0.55000000000000004">
      <c r="A17" s="619" t="s">
        <v>125</v>
      </c>
      <c r="B17" s="117">
        <f>SUM(B5:B16)</f>
        <v>556040229.71000004</v>
      </c>
      <c r="C17" s="620">
        <f>SUM(C5:C16)</f>
        <v>40958414.041937321</v>
      </c>
      <c r="D17" s="620">
        <f>SUM(D5:D16)</f>
        <v>42438557.740000017</v>
      </c>
      <c r="E17" s="123">
        <f>SUM(B17:D17)</f>
        <v>639437201.4919374</v>
      </c>
      <c r="F17" s="119"/>
      <c r="G17" s="120"/>
      <c r="H17" s="121"/>
      <c r="I17" s="621">
        <f>SUM(I5:I16)</f>
        <v>577020617.50999987</v>
      </c>
      <c r="J17" s="620">
        <f>SUM(J5:J16)</f>
        <v>41360637.719999991</v>
      </c>
      <c r="K17" s="118">
        <f>SUM(K5:K16)</f>
        <v>43873491.260000028</v>
      </c>
      <c r="L17" s="118">
        <f>SUM(L5:L16)</f>
        <v>662254746.48999977</v>
      </c>
      <c r="M17" s="119"/>
      <c r="N17" s="120"/>
      <c r="O17" s="121"/>
      <c r="P17" s="122"/>
      <c r="Q17" s="123"/>
      <c r="R17" s="121"/>
    </row>
    <row r="18" spans="1:18" x14ac:dyDescent="0.5">
      <c r="B18" s="98">
        <v>556040229.71000004</v>
      </c>
      <c r="C18" s="98">
        <v>40958414.041937321</v>
      </c>
      <c r="D18" s="98">
        <v>42438557.740000017</v>
      </c>
      <c r="E18" s="98">
        <v>639437201.4919374</v>
      </c>
      <c r="I18" s="98">
        <f>+'ต. 6 ผลผลิตหลัก-จาก ต.4-61 '!B15</f>
        <v>577020617.50999987</v>
      </c>
      <c r="J18" s="98">
        <f>+'ต. 6 ผลผลิตหลัก-จาก ต.4-61 '!C16</f>
        <v>41360637.720000006</v>
      </c>
      <c r="K18" s="98">
        <f>+'ต. 6 ผลผลิตหลัก-จาก ต.4-61 '!D15</f>
        <v>43873491.260000028</v>
      </c>
      <c r="L18" s="98">
        <f>+'ต. 6 ผลผลิตหลัก-จาก ต.4-61 '!E15</f>
        <v>662254746.48999989</v>
      </c>
    </row>
    <row r="19" spans="1:18" x14ac:dyDescent="0.5">
      <c r="B19" s="98">
        <f>+B17-B18</f>
        <v>0</v>
      </c>
      <c r="C19" s="98">
        <f>+C17-C18</f>
        <v>0</v>
      </c>
      <c r="D19" s="98">
        <f>+D17-D18</f>
        <v>0</v>
      </c>
      <c r="E19" s="98">
        <f>+E17-E18</f>
        <v>0</v>
      </c>
      <c r="I19" s="98">
        <f>+I17-I18</f>
        <v>0</v>
      </c>
      <c r="J19" s="98">
        <f>+J17-J18</f>
        <v>0</v>
      </c>
      <c r="K19" s="98">
        <f>+K17-K18</f>
        <v>0</v>
      </c>
      <c r="L19" s="98">
        <f>+L17-L18</f>
        <v>0</v>
      </c>
    </row>
    <row r="20" spans="1:18" x14ac:dyDescent="0.5">
      <c r="K20" s="98" t="s">
        <v>184</v>
      </c>
      <c r="L20" s="1557">
        <v>643136559.86000001</v>
      </c>
      <c r="M20" s="1557"/>
    </row>
  </sheetData>
  <mergeCells count="6">
    <mergeCell ref="L20:M20"/>
    <mergeCell ref="A1:S1"/>
    <mergeCell ref="A3:A4"/>
    <mergeCell ref="B3:H3"/>
    <mergeCell ref="I3:O3"/>
    <mergeCell ref="P3:R3"/>
  </mergeCells>
  <phoneticPr fontId="4" type="noConversion"/>
  <pageMargins left="0.43307086614173229" right="0" top="0.43307086614173229" bottom="0.59055118110236227" header="0" footer="0"/>
  <pageSetup paperSize="9" scale="62" orientation="landscape" r:id="rId1"/>
  <headerFooter alignWithMargins="0"/>
  <colBreaks count="1" manualBreakCount="1">
    <brk id="18" max="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N17"/>
  <sheetViews>
    <sheetView view="pageBreakPreview" zoomScale="90" zoomScaleNormal="100" zoomScaleSheetLayoutView="90" workbookViewId="0">
      <selection activeCell="A18" sqref="A18:IV31"/>
    </sheetView>
  </sheetViews>
  <sheetFormatPr defaultColWidth="36.85546875" defaultRowHeight="21.75" x14ac:dyDescent="0.2"/>
  <cols>
    <col min="1" max="1" width="3.5703125" style="7" customWidth="1"/>
    <col min="2" max="2" width="54" style="7" customWidth="1"/>
    <col min="3" max="3" width="76" style="7" customWidth="1"/>
    <col min="4" max="4" width="15" style="7" customWidth="1"/>
    <col min="5" max="16384" width="36.85546875" style="7"/>
  </cols>
  <sheetData>
    <row r="1" spans="1:14" s="72" customFormat="1" ht="23.25" x14ac:dyDescent="0.2">
      <c r="A1" s="72" t="s">
        <v>63</v>
      </c>
    </row>
    <row r="2" spans="1:14" s="72" customFormat="1" ht="24" thickBot="1" x14ac:dyDescent="0.6">
      <c r="B2" s="69" t="s">
        <v>129</v>
      </c>
    </row>
    <row r="3" spans="1:14" s="81" customFormat="1" ht="29.25" customHeight="1" thickBot="1" x14ac:dyDescent="0.25">
      <c r="A3" s="1562" t="s">
        <v>62</v>
      </c>
      <c r="B3" s="1563"/>
      <c r="C3" s="80" t="s">
        <v>59</v>
      </c>
    </row>
    <row r="4" spans="1:14" x14ac:dyDescent="0.5">
      <c r="A4" s="622"/>
      <c r="B4" s="82"/>
      <c r="C4" s="83"/>
    </row>
    <row r="5" spans="1:14" s="127" customFormat="1" x14ac:dyDescent="0.5">
      <c r="A5" s="464"/>
      <c r="B5" s="129"/>
      <c r="C5" s="76"/>
    </row>
    <row r="6" spans="1:14" x14ac:dyDescent="0.5">
      <c r="A6" s="84"/>
      <c r="B6" s="87"/>
      <c r="C6" s="88"/>
    </row>
    <row r="7" spans="1:14" x14ac:dyDescent="0.5">
      <c r="A7" s="84"/>
      <c r="B7" s="87"/>
      <c r="C7" s="88"/>
    </row>
    <row r="8" spans="1:14" x14ac:dyDescent="0.5">
      <c r="A8" s="84"/>
      <c r="B8" s="87"/>
      <c r="C8" s="88"/>
    </row>
    <row r="9" spans="1:14" x14ac:dyDescent="0.5">
      <c r="A9" s="84"/>
      <c r="B9" s="87"/>
      <c r="C9" s="88"/>
    </row>
    <row r="10" spans="1:14" ht="22.5" thickBot="1" x14ac:dyDescent="0.25">
      <c r="A10" s="89"/>
      <c r="B10" s="90"/>
      <c r="C10" s="91"/>
      <c r="D10" s="92"/>
    </row>
    <row r="11" spans="1:14" x14ac:dyDescent="0.2">
      <c r="A11" s="93"/>
      <c r="B11" s="94"/>
      <c r="C11" s="95"/>
      <c r="D11" s="92"/>
    </row>
    <row r="12" spans="1:14" x14ac:dyDescent="0.2">
      <c r="A12" s="93"/>
      <c r="B12" s="94"/>
      <c r="C12" s="95"/>
      <c r="D12" s="92"/>
    </row>
    <row r="13" spans="1:14" x14ac:dyDescent="0.2">
      <c r="A13" s="93"/>
      <c r="B13" s="94"/>
      <c r="C13" s="95"/>
      <c r="D13" s="92"/>
    </row>
    <row r="14" spans="1:14" x14ac:dyDescent="0.2">
      <c r="A14" s="93"/>
      <c r="B14" s="94"/>
      <c r="C14" s="95"/>
      <c r="D14" s="92"/>
    </row>
    <row r="15" spans="1:14" x14ac:dyDescent="0.2">
      <c r="A15" s="93"/>
      <c r="B15" s="94"/>
      <c r="C15" s="95"/>
      <c r="D15" s="92"/>
    </row>
    <row r="16" spans="1:14" x14ac:dyDescent="0.2">
      <c r="A16" s="93"/>
      <c r="B16" s="94"/>
      <c r="C16" s="95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pans="1:14" x14ac:dyDescent="0.2">
      <c r="A17" s="93"/>
      <c r="B17" s="94"/>
      <c r="C17" s="95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</row>
  </sheetData>
  <mergeCells count="1">
    <mergeCell ref="A3:B3"/>
  </mergeCells>
  <phoneticPr fontId="4" type="noConversion"/>
  <pageMargins left="0.55118110236220474" right="0" top="0.59055118110236227" bottom="0.39370078740157483" header="0" footer="0"/>
  <pageSetup paperSize="9" orientation="landscape" r:id="rId1"/>
  <headerFooter alignWithMargins="0"/>
  <rowBreaks count="1" manualBreakCount="1">
    <brk id="1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7030A0"/>
  </sheetPr>
  <dimension ref="A1:Z30"/>
  <sheetViews>
    <sheetView view="pageBreakPreview" zoomScaleNormal="100" zoomScaleSheetLayoutView="100" workbookViewId="0">
      <pane xSplit="1" ySplit="5" topLeftCell="L6" activePane="bottomRight" state="frozen"/>
      <selection activeCell="E30" sqref="E30"/>
      <selection pane="topRight" activeCell="E30" sqref="E30"/>
      <selection pane="bottomLeft" activeCell="E30" sqref="E30"/>
      <selection pane="bottomRight" sqref="A1:XFD1048576"/>
    </sheetView>
  </sheetViews>
  <sheetFormatPr defaultRowHeight="21.75" x14ac:dyDescent="0.5"/>
  <cols>
    <col min="1" max="1" width="8.5703125" style="98" customWidth="1"/>
    <col min="2" max="2" width="14.5703125" style="98" customWidth="1"/>
    <col min="3" max="3" width="14.85546875" style="98" bestFit="1" customWidth="1"/>
    <col min="4" max="4" width="14" style="98" customWidth="1"/>
    <col min="5" max="5" width="12.7109375" style="98" customWidth="1"/>
    <col min="6" max="6" width="14" style="98" bestFit="1" customWidth="1"/>
    <col min="7" max="7" width="13.140625" style="98" bestFit="1" customWidth="1"/>
    <col min="8" max="8" width="12.7109375" style="98" bestFit="1" customWidth="1"/>
    <col min="9" max="9" width="13.5703125" style="98" customWidth="1"/>
    <col min="10" max="10" width="14.5703125" style="785" customWidth="1"/>
    <col min="11" max="11" width="15" style="98" bestFit="1" customWidth="1"/>
    <col min="12" max="12" width="8.28515625" style="98" customWidth="1"/>
    <col min="13" max="14" width="14.85546875" style="98" bestFit="1" customWidth="1"/>
    <col min="15" max="15" width="13.85546875" style="98" customWidth="1"/>
    <col min="16" max="16" width="12.42578125" style="98" customWidth="1"/>
    <col min="17" max="17" width="14.5703125" style="98" bestFit="1" customWidth="1"/>
    <col min="18" max="18" width="12.42578125" style="98" customWidth="1"/>
    <col min="19" max="19" width="5.85546875" style="98" customWidth="1"/>
    <col min="20" max="20" width="13.42578125" style="98" customWidth="1"/>
    <col min="21" max="21" width="15.28515625" style="785" customWidth="1"/>
    <col min="22" max="22" width="15" style="98" customWidth="1"/>
    <col min="23" max="23" width="6.85546875" style="98" customWidth="1"/>
    <col min="24" max="24" width="7" style="98" customWidth="1"/>
    <col min="25" max="25" width="6.85546875" style="98" customWidth="1"/>
    <col min="26" max="26" width="9.140625" style="98"/>
    <col min="27" max="27" width="12" style="98" bestFit="1" customWidth="1"/>
    <col min="28" max="16384" width="9.140625" style="98"/>
  </cols>
  <sheetData>
    <row r="1" spans="1:26" s="587" customFormat="1" ht="27.75" x14ac:dyDescent="0.65">
      <c r="A1" s="1564" t="s">
        <v>400</v>
      </c>
      <c r="B1" s="1564"/>
      <c r="C1" s="1564"/>
      <c r="D1" s="1564"/>
      <c r="E1" s="1564"/>
      <c r="F1" s="1564"/>
      <c r="G1" s="1564"/>
      <c r="H1" s="1564"/>
      <c r="I1" s="1564"/>
      <c r="J1" s="1564"/>
      <c r="K1" s="1564"/>
      <c r="L1" s="1564"/>
      <c r="M1" s="1564"/>
      <c r="N1" s="1564"/>
      <c r="O1" s="1564"/>
      <c r="P1" s="1564"/>
      <c r="Q1" s="1564"/>
      <c r="R1" s="1564"/>
      <c r="S1" s="1564"/>
      <c r="T1" s="1564"/>
      <c r="U1" s="1564"/>
      <c r="V1" s="1564"/>
      <c r="W1" s="1564"/>
      <c r="X1" s="1564"/>
      <c r="Y1" s="1564"/>
    </row>
    <row r="2" spans="1:26" s="587" customFormat="1" ht="28.5" thickBot="1" x14ac:dyDescent="0.7">
      <c r="A2" s="588" t="s">
        <v>302</v>
      </c>
      <c r="J2" s="589"/>
      <c r="U2" s="589"/>
      <c r="W2" s="102" t="s">
        <v>194</v>
      </c>
    </row>
    <row r="3" spans="1:26" s="489" customFormat="1" x14ac:dyDescent="0.35">
      <c r="A3" s="1559" t="s">
        <v>72</v>
      </c>
      <c r="B3" s="1566" t="s">
        <v>326</v>
      </c>
      <c r="C3" s="1567"/>
      <c r="D3" s="1567"/>
      <c r="E3" s="1567"/>
      <c r="F3" s="1567"/>
      <c r="G3" s="1567"/>
      <c r="H3" s="1567"/>
      <c r="I3" s="1567"/>
      <c r="J3" s="1567"/>
      <c r="K3" s="1568"/>
      <c r="L3" s="1569" t="s">
        <v>392</v>
      </c>
      <c r="M3" s="1578"/>
      <c r="N3" s="1578"/>
      <c r="O3" s="1578"/>
      <c r="P3" s="1578"/>
      <c r="Q3" s="1578"/>
      <c r="R3" s="1578"/>
      <c r="S3" s="1578"/>
      <c r="T3" s="1578"/>
      <c r="U3" s="1578"/>
      <c r="V3" s="1579"/>
      <c r="W3" s="1569" t="s">
        <v>120</v>
      </c>
      <c r="X3" s="1570"/>
      <c r="Y3" s="1571"/>
    </row>
    <row r="4" spans="1:26" s="489" customFormat="1" x14ac:dyDescent="0.2">
      <c r="A4" s="1565"/>
      <c r="B4" s="590" t="s">
        <v>10</v>
      </c>
      <c r="C4" s="1574" t="s">
        <v>11</v>
      </c>
      <c r="D4" s="1575"/>
      <c r="E4" s="1575"/>
      <c r="F4" s="1575"/>
      <c r="G4" s="1575"/>
      <c r="H4" s="1575"/>
      <c r="I4" s="1575"/>
      <c r="J4" s="1575"/>
      <c r="K4" s="1573" t="s">
        <v>78</v>
      </c>
      <c r="L4" s="1580" t="s">
        <v>72</v>
      </c>
      <c r="M4" s="590" t="s">
        <v>10</v>
      </c>
      <c r="N4" s="1576" t="s">
        <v>11</v>
      </c>
      <c r="O4" s="1575"/>
      <c r="P4" s="1575"/>
      <c r="Q4" s="1575"/>
      <c r="R4" s="1575"/>
      <c r="S4" s="1575"/>
      <c r="T4" s="1575"/>
      <c r="U4" s="1575"/>
      <c r="V4" s="1573" t="s">
        <v>78</v>
      </c>
      <c r="W4" s="1577" t="s">
        <v>12</v>
      </c>
      <c r="X4" s="1572" t="s">
        <v>13</v>
      </c>
      <c r="Y4" s="1573" t="s">
        <v>121</v>
      </c>
    </row>
    <row r="5" spans="1:26" s="489" customFormat="1" ht="112.5" customHeight="1" x14ac:dyDescent="0.2">
      <c r="A5" s="1560"/>
      <c r="B5" s="623" t="s">
        <v>106</v>
      </c>
      <c r="C5" s="591" t="s">
        <v>103</v>
      </c>
      <c r="D5" s="592" t="s">
        <v>102</v>
      </c>
      <c r="E5" s="592" t="s">
        <v>288</v>
      </c>
      <c r="F5" s="592" t="s">
        <v>115</v>
      </c>
      <c r="G5" s="592" t="s">
        <v>105</v>
      </c>
      <c r="H5" s="592" t="s">
        <v>131</v>
      </c>
      <c r="I5" s="592" t="s">
        <v>289</v>
      </c>
      <c r="J5" s="624" t="s">
        <v>70</v>
      </c>
      <c r="K5" s="1573"/>
      <c r="L5" s="1581"/>
      <c r="M5" s="786" t="s">
        <v>106</v>
      </c>
      <c r="N5" s="591" t="s">
        <v>103</v>
      </c>
      <c r="O5" s="592" t="s">
        <v>102</v>
      </c>
      <c r="P5" s="592" t="s">
        <v>281</v>
      </c>
      <c r="Q5" s="592" t="s">
        <v>115</v>
      </c>
      <c r="R5" s="592" t="s">
        <v>105</v>
      </c>
      <c r="S5" s="592" t="s">
        <v>131</v>
      </c>
      <c r="T5" s="592" t="s">
        <v>280</v>
      </c>
      <c r="U5" s="592" t="s">
        <v>70</v>
      </c>
      <c r="V5" s="1573"/>
      <c r="W5" s="1577"/>
      <c r="X5" s="1572"/>
      <c r="Y5" s="1573"/>
    </row>
    <row r="6" spans="1:26" s="489" customFormat="1" ht="27.75" customHeight="1" x14ac:dyDescent="0.2">
      <c r="A6" s="787"/>
      <c r="B6" s="625">
        <v>2</v>
      </c>
      <c r="C6" s="626">
        <v>3</v>
      </c>
      <c r="D6" s="627">
        <v>4</v>
      </c>
      <c r="E6" s="627">
        <v>5</v>
      </c>
      <c r="F6" s="627">
        <v>6</v>
      </c>
      <c r="G6" s="627">
        <v>7</v>
      </c>
      <c r="H6" s="627">
        <v>8</v>
      </c>
      <c r="I6" s="627">
        <v>9</v>
      </c>
      <c r="J6" s="624" t="s">
        <v>442</v>
      </c>
      <c r="K6" s="634" t="s">
        <v>443</v>
      </c>
      <c r="L6" s="635"/>
      <c r="M6" s="625">
        <v>2</v>
      </c>
      <c r="N6" s="626">
        <v>3</v>
      </c>
      <c r="O6" s="627">
        <v>4</v>
      </c>
      <c r="P6" s="627">
        <v>5</v>
      </c>
      <c r="Q6" s="627">
        <v>6</v>
      </c>
      <c r="R6" s="627">
        <v>7</v>
      </c>
      <c r="S6" s="627">
        <v>8</v>
      </c>
      <c r="T6" s="627">
        <v>9</v>
      </c>
      <c r="U6" s="624" t="s">
        <v>442</v>
      </c>
      <c r="V6" s="624" t="s">
        <v>443</v>
      </c>
      <c r="W6" s="790"/>
      <c r="X6" s="788"/>
      <c r="Y6" s="789"/>
    </row>
    <row r="7" spans="1:26" s="489" customFormat="1" x14ac:dyDescent="0.2">
      <c r="A7" s="628" t="s">
        <v>75</v>
      </c>
      <c r="B7" s="594"/>
      <c r="C7" s="597"/>
      <c r="D7" s="596"/>
      <c r="E7" s="596"/>
      <c r="F7" s="596"/>
      <c r="G7" s="596"/>
      <c r="H7" s="596"/>
      <c r="I7" s="596"/>
      <c r="J7" s="596"/>
      <c r="K7" s="598"/>
      <c r="L7" s="593" t="s">
        <v>75</v>
      </c>
      <c r="M7" s="594"/>
      <c r="N7" s="595"/>
      <c r="O7" s="596"/>
      <c r="P7" s="596"/>
      <c r="Q7" s="596"/>
      <c r="R7" s="596"/>
      <c r="S7" s="596"/>
      <c r="T7" s="596"/>
      <c r="U7" s="597"/>
      <c r="V7" s="598"/>
      <c r="W7" s="595"/>
      <c r="X7" s="596"/>
      <c r="Y7" s="599"/>
    </row>
    <row r="8" spans="1:26" s="102" customFormat="1" x14ac:dyDescent="0.5">
      <c r="A8" s="629" t="s">
        <v>237</v>
      </c>
      <c r="B8" s="601">
        <v>38580857.670000002</v>
      </c>
      <c r="C8" s="605">
        <v>7580458.9799999995</v>
      </c>
      <c r="D8" s="465">
        <v>484683.42</v>
      </c>
      <c r="E8" s="465">
        <v>0</v>
      </c>
      <c r="F8" s="465">
        <v>4424179.5199999996</v>
      </c>
      <c r="G8" s="465">
        <v>399717.67000000004</v>
      </c>
      <c r="H8" s="465">
        <v>0</v>
      </c>
      <c r="I8" s="465">
        <v>4492936.2432336183</v>
      </c>
      <c r="J8" s="605">
        <f>SUM(C8:I8)</f>
        <v>17381975.833233617</v>
      </c>
      <c r="K8" s="603">
        <f>+J8+B8</f>
        <v>55962833.503233619</v>
      </c>
      <c r="L8" s="600" t="s">
        <v>237</v>
      </c>
      <c r="M8" s="601">
        <f>+'ต.2=กระจาย ต.1สู่ ต.2-ปี61'!B7</f>
        <v>38484430.079999998</v>
      </c>
      <c r="N8" s="467">
        <f>+'ต.2=กระจาย ต.1สู่ ต.2-ปี61'!C7+'ต.2=กระจาย ต.1สู่ ต.2-ปี61'!M7</f>
        <v>7011181.0099999998</v>
      </c>
      <c r="O8" s="465">
        <f>+'ต.2=กระจาย ต.1สู่ ต.2-ปี61'!D7</f>
        <v>819170.11999999988</v>
      </c>
      <c r="P8" s="465">
        <f>+'ต.2=กระจาย ต.1สู่ ต.2-ปี61'!E7</f>
        <v>0</v>
      </c>
      <c r="Q8" s="465">
        <f>+'ต.2=กระจาย ต.1สู่ ต.2-ปี61'!G7</f>
        <v>2659571.9</v>
      </c>
      <c r="R8" s="465">
        <f>+'ต.2=กระจาย ต.1สู่ ต.2-ปี61'!F7</f>
        <v>257130</v>
      </c>
      <c r="S8" s="465">
        <f>+'ต.2=กระจาย ต.1สู่ ต.2-ปี61'!H7</f>
        <v>0</v>
      </c>
      <c r="T8" s="602">
        <f>+'ต.2=กระจาย ต.1สู่ ต.2-ปี61'!K7+'ต.2=กระจาย ต.1สู่ ต.2-ปี61'!P7</f>
        <v>3074706.0608974355</v>
      </c>
      <c r="U8" s="465">
        <f>SUM(N8:T8)</f>
        <v>13821759.090897435</v>
      </c>
      <c r="V8" s="603">
        <f>+U8+M8</f>
        <v>52306189.170897432</v>
      </c>
      <c r="W8" s="467">
        <f>+M8/B8*100-100</f>
        <v>-0.24993635658593405</v>
      </c>
      <c r="X8" s="465">
        <f>+U8/J8*100-100</f>
        <v>-20.482232724827483</v>
      </c>
      <c r="Y8" s="466">
        <f>+V8/K8*100-100</f>
        <v>-6.5340585946651544</v>
      </c>
    </row>
    <row r="9" spans="1:26" s="102" customFormat="1" x14ac:dyDescent="0.5">
      <c r="A9" s="629" t="s">
        <v>15</v>
      </c>
      <c r="B9" s="601">
        <v>50490279.519999996</v>
      </c>
      <c r="C9" s="605">
        <v>7335208.9800000004</v>
      </c>
      <c r="D9" s="465">
        <v>3094223.7600000002</v>
      </c>
      <c r="E9" s="465">
        <v>0</v>
      </c>
      <c r="F9" s="465">
        <v>1302267.3400000001</v>
      </c>
      <c r="G9" s="465">
        <v>2523118.1599999997</v>
      </c>
      <c r="H9" s="465">
        <v>2500000</v>
      </c>
      <c r="I9" s="465">
        <v>5198731.6766809113</v>
      </c>
      <c r="J9" s="605">
        <f t="shared" ref="J9:J14" si="0">SUM(C9:I9)</f>
        <v>21953549.91668091</v>
      </c>
      <c r="K9" s="603">
        <f t="shared" ref="K9:K16" si="1">+J9+B9</f>
        <v>72443829.436680913</v>
      </c>
      <c r="L9" s="600" t="s">
        <v>15</v>
      </c>
      <c r="M9" s="601">
        <f>+'ต.2=กระจาย ต.1สู่ ต.2-ปี61'!B9</f>
        <v>51416743.370000005</v>
      </c>
      <c r="N9" s="467">
        <f>+'ต.2=กระจาย ต.1สู่ ต.2-ปี61'!C9+'ต.2=กระจาย ต.1สู่ ต.2-ปี61'!M9</f>
        <v>6996708.5099999998</v>
      </c>
      <c r="O9" s="465">
        <f>+'ต.2=กระจาย ต.1สู่ ต.2-ปี61'!D9</f>
        <v>3293188.28</v>
      </c>
      <c r="P9" s="465">
        <f>+'ต.2=กระจาย ต.1สู่ ต.2-ปี61'!E9</f>
        <v>0</v>
      </c>
      <c r="Q9" s="465">
        <f>+'ต.2=กระจาย ต.1สู่ ต.2-ปี61'!G9</f>
        <v>2075225.5699999998</v>
      </c>
      <c r="R9" s="465">
        <f>+'ต.2=กระจาย ต.1สู่ ต.2-ปี61'!F9</f>
        <v>2071968.99</v>
      </c>
      <c r="S9" s="465">
        <f>+'ต.2=กระจาย ต.1สู่ ต.2-ปี61'!H9</f>
        <v>0</v>
      </c>
      <c r="T9" s="602">
        <f>+'ต.2=กระจาย ต.1สู่ ต.2-ปี61'!K9+'ต.2=กระจาย ต.1สู่ ต.2-ปี61'!P9</f>
        <v>3685613.8947008546</v>
      </c>
      <c r="U9" s="465">
        <f t="shared" ref="U9:U14" si="2">SUM(N9:T9)</f>
        <v>18122705.244700853</v>
      </c>
      <c r="V9" s="603">
        <f t="shared" ref="V9:V14" si="3">+U9+M9</f>
        <v>69539448.614700854</v>
      </c>
      <c r="W9" s="467">
        <f t="shared" ref="W9:W14" si="4">+M9/B9*100-100</f>
        <v>1.8349350782124816</v>
      </c>
      <c r="X9" s="465">
        <f t="shared" ref="X9:X14" si="5">+U9/J9*100-100</f>
        <v>-17.449773209886558</v>
      </c>
      <c r="Y9" s="466">
        <f t="shared" ref="Y9:Y14" si="6">+V9/K9*100-100</f>
        <v>-4.0091486667178629</v>
      </c>
    </row>
    <row r="10" spans="1:26" s="102" customFormat="1" x14ac:dyDescent="0.5">
      <c r="A10" s="629" t="s">
        <v>16</v>
      </c>
      <c r="B10" s="601">
        <v>52120537.329999998</v>
      </c>
      <c r="C10" s="605">
        <v>17863444.240000002</v>
      </c>
      <c r="D10" s="465">
        <v>3055229.66</v>
      </c>
      <c r="E10" s="465">
        <v>0</v>
      </c>
      <c r="F10" s="465">
        <v>4387702.8</v>
      </c>
      <c r="G10" s="465">
        <v>580572.42000000004</v>
      </c>
      <c r="H10" s="465">
        <v>0</v>
      </c>
      <c r="I10" s="465">
        <v>5581828.540128205</v>
      </c>
      <c r="J10" s="605">
        <f t="shared" si="0"/>
        <v>31468777.66012821</v>
      </c>
      <c r="K10" s="603">
        <f t="shared" si="1"/>
        <v>83589314.990128204</v>
      </c>
      <c r="L10" s="600" t="s">
        <v>16</v>
      </c>
      <c r="M10" s="601">
        <f>+'ต.2=กระจาย ต.1สู่ ต.2-ปี61'!B11</f>
        <v>50348320.219999999</v>
      </c>
      <c r="N10" s="467">
        <f>+'ต.2=กระจาย ต.1สู่ ต.2-ปี61'!C11+'ต.2=กระจาย ต.1สู่ ต.2-ปี61'!M11</f>
        <v>25846716.789999999</v>
      </c>
      <c r="O10" s="465">
        <f>+'ต.2=กระจาย ต.1สู่ ต.2-ปี61'!D11</f>
        <v>3913621.5</v>
      </c>
      <c r="P10" s="465">
        <f>+'ต.2=กระจาย ต.1สู่ ต.2-ปี61'!E11</f>
        <v>0</v>
      </c>
      <c r="Q10" s="465">
        <f>+'ต.2=กระจาย ต.1สู่ ต.2-ปี61'!G11</f>
        <v>7569396.3899999997</v>
      </c>
      <c r="R10" s="465">
        <f>+'ต.2=กระจาย ต.1สู่ ต.2-ปี61'!F11</f>
        <v>441397.20999999996</v>
      </c>
      <c r="S10" s="465">
        <f>+'ต.2=กระจาย ต.1สู่ ต.2-ปี61'!H11</f>
        <v>0</v>
      </c>
      <c r="T10" s="602">
        <f>+'ต.2=กระจาย ต.1สู่ ต.2-ปี61'!K11+'ต.2=กระจาย ต.1สู่ ต.2-ปี61'!P11</f>
        <v>3789887.0271367519</v>
      </c>
      <c r="U10" s="465">
        <f t="shared" si="2"/>
        <v>41561018.917136751</v>
      </c>
      <c r="V10" s="603">
        <f t="shared" si="3"/>
        <v>91909339.137136757</v>
      </c>
      <c r="W10" s="467">
        <f t="shared" si="4"/>
        <v>-3.4002280114252272</v>
      </c>
      <c r="X10" s="465">
        <f t="shared" si="5"/>
        <v>32.070649092276909</v>
      </c>
      <c r="Y10" s="466">
        <f t="shared" si="6"/>
        <v>9.9534541561814933</v>
      </c>
    </row>
    <row r="11" spans="1:26" s="102" customFormat="1" x14ac:dyDescent="0.5">
      <c r="A11" s="629" t="s">
        <v>17</v>
      </c>
      <c r="B11" s="601">
        <v>31000967.689999998</v>
      </c>
      <c r="C11" s="605">
        <v>6924863.4299999997</v>
      </c>
      <c r="D11" s="465">
        <v>4355531.4000000004</v>
      </c>
      <c r="E11" s="465">
        <v>772190.4</v>
      </c>
      <c r="F11" s="465">
        <v>1097427.5</v>
      </c>
      <c r="G11" s="465">
        <v>462595.29000000004</v>
      </c>
      <c r="H11" s="465">
        <v>0</v>
      </c>
      <c r="I11" s="465">
        <v>2930416.2515811967</v>
      </c>
      <c r="J11" s="605">
        <f t="shared" si="0"/>
        <v>16543024.271581195</v>
      </c>
      <c r="K11" s="603">
        <f t="shared" si="1"/>
        <v>47543991.961581193</v>
      </c>
      <c r="L11" s="600" t="s">
        <v>17</v>
      </c>
      <c r="M11" s="601">
        <f>+'ต.2=กระจาย ต.1สู่ ต.2-ปี61'!B12</f>
        <v>32093678.200000003</v>
      </c>
      <c r="N11" s="467">
        <f>+'ต.2=กระจาย ต.1สู่ ต.2-ปี61'!C12+'ต.2=กระจาย ต.1สู่ ต.2-ปี61'!M12</f>
        <v>7456998.2400000002</v>
      </c>
      <c r="O11" s="465">
        <f>+'ต.2=กระจาย ต.1สู่ ต.2-ปี61'!D12</f>
        <v>4916596.71</v>
      </c>
      <c r="P11" s="465">
        <f>+'ต.2=กระจาย ต.1สู่ ต.2-ปี61'!E12</f>
        <v>247871.5</v>
      </c>
      <c r="Q11" s="465">
        <f>+'ต.2=กระจาย ต.1สู่ ต.2-ปี61'!G12</f>
        <v>1905076.42</v>
      </c>
      <c r="R11" s="465">
        <f>+'ต.2=กระจาย ต.1สู่ ต.2-ปี61'!F12</f>
        <v>894426.79</v>
      </c>
      <c r="S11" s="465">
        <f>+'ต.2=กระจาย ต.1สู่ ต.2-ปี61'!H12</f>
        <v>0</v>
      </c>
      <c r="T11" s="602">
        <f>+'ต.2=กระจาย ต.1สู่ ต.2-ปี61'!K12+'ต.2=กระจาย ต.1สู่ ต.2-ปี61'!P12</f>
        <v>2317194.227094017</v>
      </c>
      <c r="U11" s="465">
        <f t="shared" si="2"/>
        <v>17738163.887094017</v>
      </c>
      <c r="V11" s="603">
        <f t="shared" si="3"/>
        <v>49831842.087094024</v>
      </c>
      <c r="W11" s="467">
        <f t="shared" si="4"/>
        <v>3.5247625845966155</v>
      </c>
      <c r="X11" s="465">
        <f t="shared" si="5"/>
        <v>7.2244324610338566</v>
      </c>
      <c r="Y11" s="466">
        <f t="shared" si="6"/>
        <v>4.8120698980463601</v>
      </c>
    </row>
    <row r="12" spans="1:26" s="102" customFormat="1" x14ac:dyDescent="0.5">
      <c r="A12" s="629" t="s">
        <v>254</v>
      </c>
      <c r="B12" s="601">
        <v>7718511.8300000001</v>
      </c>
      <c r="C12" s="605">
        <v>2199302.25</v>
      </c>
      <c r="D12" s="465">
        <v>92489</v>
      </c>
      <c r="E12" s="465">
        <v>0</v>
      </c>
      <c r="F12" s="465">
        <v>399120.2</v>
      </c>
      <c r="G12" s="465">
        <v>3294074.39</v>
      </c>
      <c r="H12" s="465">
        <v>0</v>
      </c>
      <c r="I12" s="465">
        <v>1363795.4773076922</v>
      </c>
      <c r="J12" s="605">
        <f t="shared" si="0"/>
        <v>7348781.317307692</v>
      </c>
      <c r="K12" s="603">
        <f t="shared" si="1"/>
        <v>15067293.147307692</v>
      </c>
      <c r="L12" s="600" t="s">
        <v>254</v>
      </c>
      <c r="M12" s="601">
        <f>+'ต.2=กระจาย ต.1สู่ ต.2-ปี61'!B10</f>
        <v>8009676.8799999999</v>
      </c>
      <c r="N12" s="467">
        <f>+'ต.2=กระจาย ต.1สู่ ต.2-ปี61'!C10+'ต.2=กระจาย ต.1สู่ ต.2-ปี61'!M10</f>
        <v>2000219.1499999997</v>
      </c>
      <c r="O12" s="465">
        <f>+'ต.2=กระจาย ต.1สู่ ต.2-ปี61'!D10</f>
        <v>62210</v>
      </c>
      <c r="P12" s="465">
        <f>+'ต.2=กระจาย ต.1สู่ ต.2-ปี61'!E10</f>
        <v>0</v>
      </c>
      <c r="Q12" s="465">
        <f>+'ต.2=กระจาย ต.1สู่ ต.2-ปี61'!G10</f>
        <v>1062038.8</v>
      </c>
      <c r="R12" s="465">
        <f>+'ต.2=กระจาย ต.1สู่ ต.2-ปี61'!F10</f>
        <v>2691803.1100000003</v>
      </c>
      <c r="S12" s="465">
        <f>+'ต.2=กระจาย ต.1สู่ ต.2-ปี61'!H10</f>
        <v>0</v>
      </c>
      <c r="T12" s="602">
        <f>+'ต.2=กระจาย ต.1สู่ ต.2-ปี61'!K10+'ต.2=กระจาย ต.1สู่ ต.2-ปี61'!P10</f>
        <v>1048945.6919230768</v>
      </c>
      <c r="U12" s="465">
        <f t="shared" si="2"/>
        <v>6865216.7519230768</v>
      </c>
      <c r="V12" s="603">
        <f t="shared" si="3"/>
        <v>14874893.631923076</v>
      </c>
      <c r="W12" s="467">
        <f t="shared" si="4"/>
        <v>3.7722951834874436</v>
      </c>
      <c r="X12" s="465">
        <f t="shared" si="5"/>
        <v>-6.5802007775865405</v>
      </c>
      <c r="Y12" s="466">
        <f t="shared" si="6"/>
        <v>-1.2769348382857686</v>
      </c>
      <c r="Z12" s="108"/>
    </row>
    <row r="13" spans="1:26" s="102" customFormat="1" x14ac:dyDescent="0.5">
      <c r="A13" s="629" t="s">
        <v>188</v>
      </c>
      <c r="B13" s="601">
        <v>0</v>
      </c>
      <c r="C13" s="605">
        <v>1744416.3599999999</v>
      </c>
      <c r="D13" s="465">
        <v>647379.75</v>
      </c>
      <c r="E13" s="465">
        <v>34670</v>
      </c>
      <c r="F13" s="465">
        <v>757544</v>
      </c>
      <c r="G13" s="465">
        <v>86400</v>
      </c>
      <c r="H13" s="465">
        <v>0</v>
      </c>
      <c r="I13" s="465">
        <v>577394.26648148149</v>
      </c>
      <c r="J13" s="605">
        <f t="shared" si="0"/>
        <v>3847804.3764814814</v>
      </c>
      <c r="K13" s="603">
        <f t="shared" si="1"/>
        <v>3847804.3764814814</v>
      </c>
      <c r="L13" s="600" t="s">
        <v>188</v>
      </c>
      <c r="M13" s="601">
        <f>+'ต.2=กระจาย ต.1สู่ ต.2-ปี61'!B8</f>
        <v>0</v>
      </c>
      <c r="N13" s="467">
        <f>+'ต.2=กระจาย ต.1สู่ ต.2-ปี61'!C8+'ต.2=กระจาย ต.1สู่ ต.2-ปี61'!M8</f>
        <v>813379.72</v>
      </c>
      <c r="O13" s="465">
        <f>+'ต.2=กระจาย ต.1สู่ ต.2-ปี61'!D8</f>
        <v>434390.1</v>
      </c>
      <c r="P13" s="465">
        <f>+'ต.2=กระจาย ต.1สู่ ต.2-ปี61'!E8</f>
        <v>0</v>
      </c>
      <c r="Q13" s="465">
        <f>+'ต.2=กระจาย ต.1สู่ ต.2-ปี61'!G8</f>
        <v>283556.59999999998</v>
      </c>
      <c r="R13" s="465">
        <f>+'ต.2=กระจาย ต.1สู่ ต.2-ปี61'!F8</f>
        <v>0</v>
      </c>
      <c r="S13" s="465">
        <f>+'ต.2=กระจาย ต.1สู่ ต.2-ปี61'!H8</f>
        <v>0</v>
      </c>
      <c r="T13" s="602">
        <f>+'ต.2=กระจาย ต.1สู่ ต.2-ปี61'!K8+'ต.2=กระจาย ต.1สู่ ต.2-ปี61'!P8</f>
        <v>519668.99055555556</v>
      </c>
      <c r="U13" s="465">
        <f t="shared" si="2"/>
        <v>2050995.4105555555</v>
      </c>
      <c r="V13" s="603">
        <f t="shared" si="3"/>
        <v>2050995.4105555555</v>
      </c>
      <c r="W13" s="467" t="e">
        <f t="shared" si="4"/>
        <v>#DIV/0!</v>
      </c>
      <c r="X13" s="465">
        <f t="shared" si="5"/>
        <v>-46.696993664968176</v>
      </c>
      <c r="Y13" s="466">
        <f t="shared" si="6"/>
        <v>-46.696993664968176</v>
      </c>
    </row>
    <row r="14" spans="1:26" s="102" customFormat="1" x14ac:dyDescent="0.5">
      <c r="A14" s="669" t="s">
        <v>236</v>
      </c>
      <c r="B14" s="601">
        <v>125172998.55000001</v>
      </c>
      <c r="C14" s="605">
        <v>51794654.620000005</v>
      </c>
      <c r="D14" s="465">
        <v>32242476.510000002</v>
      </c>
      <c r="E14" s="465">
        <v>910420.42</v>
      </c>
      <c r="F14" s="465">
        <v>4176225.73</v>
      </c>
      <c r="G14" s="465">
        <v>1002394.05</v>
      </c>
      <c r="H14" s="465">
        <v>0</v>
      </c>
      <c r="I14" s="465">
        <v>14554497.427008549</v>
      </c>
      <c r="J14" s="605">
        <f t="shared" si="0"/>
        <v>104680668.75700857</v>
      </c>
      <c r="K14" s="603">
        <f t="shared" si="1"/>
        <v>229853667.30700856</v>
      </c>
      <c r="L14" s="668" t="s">
        <v>236</v>
      </c>
      <c r="M14" s="601">
        <f>+'ต.2=กระจาย ต.1สู่ ต.2-ปี61'!B13</f>
        <v>126760376.05999999</v>
      </c>
      <c r="N14" s="467">
        <f>+'ต.2=กระจาย ต.1สู่ ต.2-ปี61'!C13+'ต.2=กระจาย ต.1สู่ ต.2-ปี61'!M13</f>
        <v>56781349.150000006</v>
      </c>
      <c r="O14" s="465">
        <f>+'ต.2=กระจาย ต.1สู่ ต.2-ปี61'!D13</f>
        <v>33792685.329999998</v>
      </c>
      <c r="P14" s="465">
        <f>+'ต.2=กระจาย ต.1สู่ ต.2-ปี61'!E13</f>
        <v>1858431.95</v>
      </c>
      <c r="Q14" s="465">
        <f>+'ต.2=กระจาย ต.1สู่ ต.2-ปี61'!G13</f>
        <v>4315936.37</v>
      </c>
      <c r="R14" s="465">
        <f>+'ต.2=กระจาย ต.1สู่ ต.2-ปี61'!F13</f>
        <v>2507489</v>
      </c>
      <c r="S14" s="465">
        <f>+'ต.2=กระจาย ต.1สู่ ต.2-ปี61'!H13</f>
        <v>0</v>
      </c>
      <c r="T14" s="602">
        <f>+'ต.2=กระจาย ต.1สู่ ต.2-ปี61'!K13+'ต.2=กระจาย ต.1สู่ ต.2-ปี61'!P13</f>
        <v>10399308.180299142</v>
      </c>
      <c r="U14" s="465">
        <f t="shared" si="2"/>
        <v>109655199.98029916</v>
      </c>
      <c r="V14" s="603">
        <f t="shared" si="3"/>
        <v>236415576.04029915</v>
      </c>
      <c r="W14" s="467">
        <f t="shared" si="4"/>
        <v>1.2681469073906584</v>
      </c>
      <c r="X14" s="465">
        <f t="shared" si="5"/>
        <v>4.7521011112737597</v>
      </c>
      <c r="Y14" s="466">
        <f t="shared" si="6"/>
        <v>2.8548201167162688</v>
      </c>
    </row>
    <row r="15" spans="1:26" s="102" customFormat="1" x14ac:dyDescent="0.5">
      <c r="A15" s="630" t="s">
        <v>76</v>
      </c>
      <c r="B15" s="601"/>
      <c r="C15" s="605"/>
      <c r="D15" s="465"/>
      <c r="E15" s="465"/>
      <c r="F15" s="465"/>
      <c r="G15" s="465"/>
      <c r="H15" s="465"/>
      <c r="I15" s="465"/>
      <c r="J15" s="605"/>
      <c r="K15" s="603"/>
      <c r="L15" s="604" t="s">
        <v>76</v>
      </c>
      <c r="M15" s="601"/>
      <c r="N15" s="467"/>
      <c r="O15" s="465"/>
      <c r="P15" s="465"/>
      <c r="Q15" s="465"/>
      <c r="R15" s="465"/>
      <c r="S15" s="465"/>
      <c r="T15" s="465"/>
      <c r="U15" s="465"/>
      <c r="V15" s="603"/>
      <c r="W15" s="467"/>
      <c r="X15" s="465"/>
      <c r="Y15" s="466"/>
    </row>
    <row r="16" spans="1:26" s="102" customFormat="1" x14ac:dyDescent="0.5">
      <c r="A16" s="629" t="s">
        <v>18</v>
      </c>
      <c r="B16" s="601">
        <v>36541895.389999941</v>
      </c>
      <c r="C16" s="605">
        <v>25882226.93</v>
      </c>
      <c r="D16" s="465">
        <v>1175157.92</v>
      </c>
      <c r="E16" s="465">
        <v>25415</v>
      </c>
      <c r="F16" s="465">
        <v>4707339.12</v>
      </c>
      <c r="G16" s="465">
        <v>448464.88</v>
      </c>
      <c r="H16" s="465">
        <v>0</v>
      </c>
      <c r="I16" s="465">
        <v>4516118.3395156721</v>
      </c>
      <c r="J16" s="605">
        <f>SUM(C16:I16)</f>
        <v>36754722.189515673</v>
      </c>
      <c r="K16" s="603">
        <f t="shared" si="1"/>
        <v>73296617.579515606</v>
      </c>
      <c r="L16" s="600" t="s">
        <v>18</v>
      </c>
      <c r="M16" s="601">
        <f>+'ต.2=กระจาย ต.1สู่ ต.2-ปี61'!B27</f>
        <v>37658074.379999965</v>
      </c>
      <c r="N16" s="467">
        <f>+'ต.2=กระจาย ต.1สู่ ต.2-ปี61'!C27+'ต.2=กระจาย ต.1สู่ ต.2-ปี61'!M27</f>
        <v>30238166.98</v>
      </c>
      <c r="O16" s="465">
        <f>+'ต.2=กระจาย ต.1สู่ ต.2-ปี61'!D27</f>
        <v>1637281.2</v>
      </c>
      <c r="P16" s="465">
        <f>+'ต.2=กระจาย ต.1สู่ ต.2-ปี61'!E27</f>
        <v>0</v>
      </c>
      <c r="Q16" s="465">
        <f>+'ต.2=กระจาย ต.1สู่ ต.2-ปี61'!G27</f>
        <v>2843053.54</v>
      </c>
      <c r="R16" s="465">
        <f>+'ต.2=กระจาย ต.1สู่ ต.2-ปี61'!F27</f>
        <v>536094.80000000005</v>
      </c>
      <c r="S16" s="465">
        <f>+'ต.2=กระจาย ต.1สู่ ต.2-ปี61'!H27</f>
        <v>0</v>
      </c>
      <c r="T16" s="465">
        <f>+'ต.2=กระจาย ต.1สู่ ต.2-ปี61'!K27+'ต.2=กระจาย ต.1สู่ ต.2-ปี61'!P27</f>
        <v>14419010.197393164</v>
      </c>
      <c r="U16" s="465">
        <f>SUM(N16:T16)</f>
        <v>49673606.71739316</v>
      </c>
      <c r="V16" s="603">
        <f>+U16+M16</f>
        <v>87331681.097393125</v>
      </c>
      <c r="W16" s="467">
        <f>+M16/B16*100-100</f>
        <v>3.0545185959496735</v>
      </c>
      <c r="X16" s="465">
        <f>+U16/J16*100-100</f>
        <v>35.148910829103244</v>
      </c>
      <c r="Y16" s="466">
        <f>+V16/K16*100-100</f>
        <v>19.148309951208347</v>
      </c>
    </row>
    <row r="17" spans="1:25" s="102" customFormat="1" x14ac:dyDescent="0.2">
      <c r="A17" s="601"/>
      <c r="B17" s="601"/>
      <c r="C17" s="605"/>
      <c r="D17" s="465"/>
      <c r="E17" s="465"/>
      <c r="F17" s="465"/>
      <c r="G17" s="465"/>
      <c r="H17" s="465"/>
      <c r="I17" s="465"/>
      <c r="J17" s="605"/>
      <c r="K17" s="603"/>
      <c r="L17" s="602"/>
      <c r="M17" s="601"/>
      <c r="N17" s="467"/>
      <c r="O17" s="465"/>
      <c r="P17" s="465"/>
      <c r="Q17" s="465"/>
      <c r="R17" s="465"/>
      <c r="S17" s="465"/>
      <c r="T17" s="465"/>
      <c r="U17" s="605"/>
      <c r="V17" s="603"/>
      <c r="W17" s="467"/>
      <c r="X17" s="465"/>
      <c r="Y17" s="466"/>
    </row>
    <row r="18" spans="1:25" s="124" customFormat="1" ht="22.5" thickBot="1" x14ac:dyDescent="0.55000000000000004">
      <c r="A18" s="631" t="s">
        <v>70</v>
      </c>
      <c r="B18" s="619">
        <f>SUM(B8:B16)</f>
        <v>341626047.97999996</v>
      </c>
      <c r="C18" s="117">
        <f t="shared" ref="C18:I18" si="7">SUM(C8:C16)</f>
        <v>121324575.79000002</v>
      </c>
      <c r="D18" s="620">
        <f>SUM(D8:D16)</f>
        <v>45147171.420000002</v>
      </c>
      <c r="E18" s="620">
        <f t="shared" si="7"/>
        <v>1742695.82</v>
      </c>
      <c r="F18" s="620">
        <f t="shared" si="7"/>
        <v>21251806.210000001</v>
      </c>
      <c r="G18" s="620">
        <f t="shared" si="7"/>
        <v>8797336.8599999994</v>
      </c>
      <c r="H18" s="620">
        <f t="shared" si="7"/>
        <v>2500000</v>
      </c>
      <c r="I18" s="620">
        <f t="shared" si="7"/>
        <v>39215718.221937321</v>
      </c>
      <c r="J18" s="632">
        <f>SUM(C18:I18)</f>
        <v>239979304.32193735</v>
      </c>
      <c r="K18" s="633">
        <f>+J18+B18</f>
        <v>581605352.30193734</v>
      </c>
      <c r="L18" s="666" t="s">
        <v>70</v>
      </c>
      <c r="M18" s="619">
        <f>SUM(M8:M16)</f>
        <v>344771299.18999994</v>
      </c>
      <c r="N18" s="117">
        <f t="shared" ref="N18:T18" si="8">SUM(N8:N16)</f>
        <v>137144719.55000001</v>
      </c>
      <c r="O18" s="620">
        <f t="shared" si="8"/>
        <v>48869143.240000002</v>
      </c>
      <c r="P18" s="620">
        <f t="shared" si="8"/>
        <v>2106303.4500000002</v>
      </c>
      <c r="Q18" s="620">
        <f t="shared" si="8"/>
        <v>22713855.59</v>
      </c>
      <c r="R18" s="620">
        <f t="shared" si="8"/>
        <v>9400309.9000000022</v>
      </c>
      <c r="S18" s="620">
        <f t="shared" si="8"/>
        <v>0</v>
      </c>
      <c r="T18" s="620">
        <f t="shared" si="8"/>
        <v>39254334.269999996</v>
      </c>
      <c r="U18" s="123">
        <f>SUM(N18:T18)</f>
        <v>259488666</v>
      </c>
      <c r="V18" s="633">
        <f>+U18+M18</f>
        <v>604259965.18999994</v>
      </c>
      <c r="W18" s="667"/>
      <c r="X18" s="123"/>
      <c r="Y18" s="121"/>
    </row>
    <row r="19" spans="1:25" ht="22.5" thickBot="1" x14ac:dyDescent="0.55000000000000004">
      <c r="B19" s="108">
        <v>341626047.97999996</v>
      </c>
      <c r="C19" s="108">
        <v>121324575.79000002</v>
      </c>
      <c r="D19" s="108">
        <v>45147171.420000002</v>
      </c>
      <c r="E19" s="108">
        <v>1742695.82</v>
      </c>
      <c r="F19" s="108">
        <v>21251806.210000001</v>
      </c>
      <c r="G19" s="108">
        <v>8797336.8599999994</v>
      </c>
      <c r="H19" s="108">
        <v>2500000</v>
      </c>
      <c r="I19" s="108">
        <v>39215718.221937321</v>
      </c>
      <c r="J19" s="108">
        <v>239979304.32193735</v>
      </c>
      <c r="K19" s="108">
        <v>581605352.30193734</v>
      </c>
      <c r="L19" s="98">
        <f>+'[4]ตารางที่ 11-ปี 59 จาก ต.2'!$V$18</f>
        <v>589429591.48999989</v>
      </c>
      <c r="M19" s="98">
        <f>+'ต.2=กระจาย ต.1สู่ ต.2-ปี61'!B28</f>
        <v>344771299.18999994</v>
      </c>
      <c r="N19" s="98">
        <f>+'ต.2=กระจาย ต.1สู่ ต.2-ปี61'!C28+'ต.2=กระจาย ต.1สู่ ต.2-ปี61'!M28</f>
        <v>137144719.54999998</v>
      </c>
      <c r="O19" s="98">
        <f>+'ต.2=กระจาย ต.1สู่ ต.2-ปี61'!D28</f>
        <v>48869143.240000002</v>
      </c>
      <c r="P19" s="98">
        <f>+'ต.2=กระจาย ต.1สู่ ต.2-ปี61'!E28</f>
        <v>2106303.4500000002</v>
      </c>
      <c r="Q19" s="98">
        <f>+'ต.2=กระจาย ต.1สู่ ต.2-ปี61'!G28</f>
        <v>22713855.59</v>
      </c>
      <c r="R19" s="98">
        <f>+'ต.2=กระจาย ต.1สู่ ต.2-ปี61'!F28</f>
        <v>9400309.9000000022</v>
      </c>
      <c r="S19" s="98">
        <f>+'ต.2=กระจาย ต.1สู่ ต.2-ปี61'!H29</f>
        <v>0</v>
      </c>
      <c r="T19" s="98">
        <f>+'ต.2=กระจาย ต.1สู่ ต.2-ปี61'!K28+'ต.2=กระจาย ต.1สู่ ต.2-ปี61'!P28</f>
        <v>39254334.269999996</v>
      </c>
      <c r="U19" s="664">
        <f>SUM(N19:T19)</f>
        <v>259488666</v>
      </c>
      <c r="V19" s="665">
        <f>+U19+M19</f>
        <v>604259965.18999994</v>
      </c>
    </row>
    <row r="20" spans="1:25" ht="21" customHeight="1" thickTop="1" x14ac:dyDescent="0.5">
      <c r="A20" s="606"/>
      <c r="B20" s="607">
        <f>+B18-B19</f>
        <v>0</v>
      </c>
      <c r="C20" s="607">
        <f t="shared" ref="C20:K20" si="9">+C18-C19</f>
        <v>0</v>
      </c>
      <c r="D20" s="607">
        <f t="shared" si="9"/>
        <v>0</v>
      </c>
      <c r="E20" s="607">
        <f t="shared" si="9"/>
        <v>0</v>
      </c>
      <c r="F20" s="607">
        <f t="shared" si="9"/>
        <v>0</v>
      </c>
      <c r="G20" s="607">
        <f t="shared" si="9"/>
        <v>0</v>
      </c>
      <c r="H20" s="607">
        <f t="shared" si="9"/>
        <v>0</v>
      </c>
      <c r="I20" s="607">
        <f t="shared" si="9"/>
        <v>0</v>
      </c>
      <c r="J20" s="607">
        <f t="shared" si="9"/>
        <v>0</v>
      </c>
      <c r="K20" s="607">
        <f t="shared" si="9"/>
        <v>0</v>
      </c>
      <c r="N20" s="98">
        <f>+N18-N19</f>
        <v>0</v>
      </c>
      <c r="O20" s="98">
        <f t="shared" ref="O20:T20" si="10">+O18-O19</f>
        <v>0</v>
      </c>
      <c r="P20" s="98">
        <f t="shared" si="10"/>
        <v>0</v>
      </c>
      <c r="Q20" s="98">
        <f t="shared" si="10"/>
        <v>0</v>
      </c>
      <c r="R20" s="98">
        <f t="shared" si="10"/>
        <v>0</v>
      </c>
      <c r="S20" s="98">
        <f t="shared" si="10"/>
        <v>0</v>
      </c>
      <c r="T20" s="98">
        <f t="shared" si="10"/>
        <v>0</v>
      </c>
      <c r="U20" s="785">
        <f>+V18+'ตารางที่ 12-ปี60 ไม่'!H14</f>
        <v>662254746.49000001</v>
      </c>
      <c r="V20" s="98">
        <f>+'ต.2=กระจาย ต.1สู่ ต.2-ปี61'!R29</f>
        <v>662254746.49000001</v>
      </c>
    </row>
    <row r="21" spans="1:25" ht="21" customHeight="1" x14ac:dyDescent="0.5">
      <c r="A21" s="606"/>
      <c r="B21" s="606"/>
      <c r="C21" s="606"/>
      <c r="D21" s="606"/>
      <c r="E21" s="606"/>
      <c r="F21" s="606"/>
      <c r="G21" s="606"/>
      <c r="H21" s="606"/>
      <c r="I21" s="606"/>
      <c r="J21" s="108"/>
      <c r="K21" s="785"/>
      <c r="U21" s="785">
        <f>+'ต. 10 ผลผลิต-จาก ต.6-60 ไม่'!L17</f>
        <v>662254746.48999977</v>
      </c>
      <c r="V21" s="98">
        <f>+V18+'ตารางที่ 12-ปี60 ไม่'!H14</f>
        <v>662254746.49000001</v>
      </c>
    </row>
    <row r="22" spans="1:25" s="219" customFormat="1" ht="21" customHeight="1" x14ac:dyDescent="0.5">
      <c r="A22" s="606"/>
      <c r="B22" s="606"/>
      <c r="C22" s="606"/>
      <c r="D22" s="606"/>
      <c r="E22" s="606"/>
      <c r="F22" s="606"/>
      <c r="G22" s="606"/>
      <c r="H22" s="606"/>
      <c r="I22" s="606"/>
      <c r="J22" s="108"/>
      <c r="K22" s="108"/>
      <c r="O22" s="219" t="s">
        <v>491</v>
      </c>
      <c r="Q22" s="224">
        <f>+V18</f>
        <v>604259965.18999994</v>
      </c>
      <c r="U22" s="219" t="s">
        <v>290</v>
      </c>
      <c r="V22" s="219">
        <f>+V20-V19</f>
        <v>57994781.300000072</v>
      </c>
    </row>
    <row r="23" spans="1:25" s="219" customFormat="1" ht="21" customHeight="1" x14ac:dyDescent="0.5">
      <c r="A23" s="606"/>
      <c r="B23" s="606"/>
      <c r="C23" s="606"/>
      <c r="D23" s="606"/>
      <c r="E23" s="606"/>
      <c r="F23" s="606"/>
      <c r="G23" s="606"/>
      <c r="H23" s="606"/>
      <c r="I23" s="606"/>
      <c r="J23" s="108"/>
      <c r="K23" s="108"/>
      <c r="O23" s="219" t="s">
        <v>492</v>
      </c>
      <c r="Q23" s="224">
        <f>+'ตารางที่ 12-ปี60 ไม่'!H14</f>
        <v>57994781.300000012</v>
      </c>
      <c r="U23" s="223"/>
      <c r="V23" s="219">
        <f>+'ต.2=กระจาย ต.1สู่ ต.2-ปี61'!I28+'ต.2=กระจาย ต.1สู่ ต.2-ปี61'!N28+'ต.2=กระจาย ต.1สู่ ต.2-ปี61'!J28+'ต.2=กระจาย ต.1สู่ ต.2-ปี61'!O28</f>
        <v>57994781.300000012</v>
      </c>
    </row>
    <row r="24" spans="1:25" s="219" customFormat="1" ht="21" customHeight="1" x14ac:dyDescent="0.5">
      <c r="A24" s="144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O24" s="219" t="s">
        <v>70</v>
      </c>
      <c r="Q24" s="219">
        <f>SUM(Q22:Q23)</f>
        <v>662254746.49000001</v>
      </c>
      <c r="U24" s="223"/>
      <c r="V24" s="219">
        <f>+V22-V23</f>
        <v>5.9604644775390625E-8</v>
      </c>
    </row>
    <row r="25" spans="1:25" s="219" customFormat="1" ht="21" customHeight="1" x14ac:dyDescent="0.5">
      <c r="A25" s="144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T25" s="219" t="s">
        <v>278</v>
      </c>
      <c r="U25" s="223"/>
    </row>
    <row r="26" spans="1:25" s="219" customFormat="1" ht="21" customHeight="1" x14ac:dyDescent="0.5">
      <c r="A26" s="144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U26" s="223" t="s">
        <v>77</v>
      </c>
      <c r="V26" s="219">
        <f>+'ต.2=กระจาย ต.1สู่ ต.2-ปี61'!I28</f>
        <v>41401241.260000013</v>
      </c>
    </row>
    <row r="27" spans="1:25" s="219" customFormat="1" ht="21" customHeight="1" x14ac:dyDescent="0.5">
      <c r="A27" s="144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U27" s="223" t="s">
        <v>279</v>
      </c>
      <c r="V27" s="219">
        <f>+'ต.2=กระจาย ต.1สู่ ต.2-ปี61'!J28</f>
        <v>8364274.5600000015</v>
      </c>
    </row>
    <row r="28" spans="1:25" s="219" customFormat="1" ht="21" customHeight="1" x14ac:dyDescent="0.5">
      <c r="J28" s="223"/>
      <c r="T28" s="219" t="s">
        <v>282</v>
      </c>
      <c r="U28" s="223" t="s">
        <v>77</v>
      </c>
      <c r="V28" s="219">
        <f>+'ต.2=กระจาย ต.1สู่ ต.2-ปี61'!N28</f>
        <v>2472250</v>
      </c>
    </row>
    <row r="29" spans="1:25" x14ac:dyDescent="0.5">
      <c r="U29" s="223" t="s">
        <v>279</v>
      </c>
      <c r="V29" s="98">
        <f>+'ต.2=กระจาย ต.1สู่ ต.2-ปี61'!O28</f>
        <v>5757015.4800000004</v>
      </c>
    </row>
    <row r="30" spans="1:25" x14ac:dyDescent="0.5">
      <c r="V30" s="98" t="e">
        <f ca="1">SUM(V26:V30)</f>
        <v>#VALUE!</v>
      </c>
    </row>
  </sheetData>
  <mergeCells count="13">
    <mergeCell ref="A1:Y1"/>
    <mergeCell ref="A3:A5"/>
    <mergeCell ref="B3:K3"/>
    <mergeCell ref="W3:Y3"/>
    <mergeCell ref="X4:X5"/>
    <mergeCell ref="Y4:Y5"/>
    <mergeCell ref="C4:J4"/>
    <mergeCell ref="K4:K5"/>
    <mergeCell ref="V4:V5"/>
    <mergeCell ref="N4:U4"/>
    <mergeCell ref="W4:W5"/>
    <mergeCell ref="L3:V3"/>
    <mergeCell ref="L4:L5"/>
  </mergeCells>
  <phoneticPr fontId="4" type="noConversion"/>
  <pageMargins left="0.23622047244094491" right="0" top="0.43307086614173229" bottom="0.98425196850393704" header="0" footer="0"/>
  <pageSetup paperSize="9" scale="46" orientation="landscape" r:id="rId1"/>
  <headerFooter alignWithMargins="0"/>
  <colBreaks count="1" manualBreakCount="1">
    <brk id="2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R12"/>
  <sheetViews>
    <sheetView view="pageBreakPreview" zoomScaleNormal="100" zoomScaleSheetLayoutView="100" workbookViewId="0">
      <selection activeCell="J9" sqref="J9"/>
    </sheetView>
  </sheetViews>
  <sheetFormatPr defaultRowHeight="21.75" x14ac:dyDescent="0.5"/>
  <cols>
    <col min="1" max="1" width="7" style="1" customWidth="1"/>
    <col min="2" max="2" width="15.5703125" style="1" customWidth="1"/>
    <col min="3" max="3" width="103.85546875" style="1" customWidth="1"/>
    <col min="4" max="4" width="2.42578125" style="1" hidden="1" customWidth="1"/>
    <col min="5" max="16384" width="9.140625" style="1"/>
  </cols>
  <sheetData>
    <row r="1" spans="1:18" s="69" customFormat="1" ht="23.25" x14ac:dyDescent="0.55000000000000004">
      <c r="A1" s="69" t="s">
        <v>64</v>
      </c>
      <c r="H1" s="70"/>
      <c r="R1" s="70"/>
    </row>
    <row r="2" spans="1:18" s="71" customFormat="1" ht="23.25" x14ac:dyDescent="0.55000000000000004">
      <c r="B2" s="71" t="s">
        <v>14</v>
      </c>
    </row>
    <row r="3" spans="1:18" s="71" customFormat="1" ht="24" thickBot="1" x14ac:dyDescent="0.6">
      <c r="B3" s="71" t="s">
        <v>24</v>
      </c>
    </row>
    <row r="4" spans="1:18" s="72" customFormat="1" ht="23.25" x14ac:dyDescent="0.2">
      <c r="A4" s="1584" t="s">
        <v>72</v>
      </c>
      <c r="B4" s="1582" t="s">
        <v>447</v>
      </c>
      <c r="C4" s="1583"/>
    </row>
    <row r="5" spans="1:18" s="72" customFormat="1" ht="23.25" x14ac:dyDescent="0.2">
      <c r="A5" s="1585"/>
      <c r="B5" s="73" t="s">
        <v>10</v>
      </c>
      <c r="C5" s="674" t="s">
        <v>78</v>
      </c>
    </row>
    <row r="6" spans="1:18" s="7" customFormat="1" x14ac:dyDescent="0.2">
      <c r="A6" s="716" t="s">
        <v>75</v>
      </c>
      <c r="B6" s="74"/>
      <c r="C6" s="675"/>
    </row>
    <row r="7" spans="1:18" s="7" customFormat="1" x14ac:dyDescent="0.2">
      <c r="A7" s="766" t="s">
        <v>137</v>
      </c>
      <c r="B7" s="767"/>
      <c r="C7" s="1455" t="s">
        <v>564</v>
      </c>
    </row>
    <row r="8" spans="1:18" s="7" customFormat="1" ht="97.5" customHeight="1" x14ac:dyDescent="0.2">
      <c r="A8" s="673"/>
      <c r="B8" s="75" t="s">
        <v>256</v>
      </c>
      <c r="C8" s="784" t="s">
        <v>567</v>
      </c>
    </row>
    <row r="9" spans="1:18" s="7" customFormat="1" x14ac:dyDescent="0.2">
      <c r="A9" s="766"/>
      <c r="B9" s="767"/>
      <c r="C9" s="1456"/>
    </row>
    <row r="10" spans="1:18" s="7" customFormat="1" x14ac:dyDescent="0.2">
      <c r="A10" s="766"/>
      <c r="B10" s="767"/>
      <c r="C10" s="1456"/>
    </row>
    <row r="11" spans="1:18" s="7" customFormat="1" x14ac:dyDescent="0.2">
      <c r="A11" s="766"/>
      <c r="B11" s="767"/>
      <c r="C11" s="1456"/>
    </row>
    <row r="12" spans="1:18" s="7" customFormat="1" ht="22.5" thickBot="1" x14ac:dyDescent="0.25">
      <c r="A12" s="78"/>
      <c r="B12" s="9"/>
      <c r="C12" s="676"/>
    </row>
  </sheetData>
  <mergeCells count="2">
    <mergeCell ref="B4:C4"/>
    <mergeCell ref="A4:A5"/>
  </mergeCells>
  <phoneticPr fontId="4" type="noConversion"/>
  <pageMargins left="0.39370078740157483" right="0" top="0.43307086614173229" bottom="0.23622047244094491" header="0" footer="0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Z52"/>
  <sheetViews>
    <sheetView tabSelected="1" view="pageBreakPreview" zoomScale="90" zoomScaleNormal="100" zoomScaleSheetLayoutView="90" workbookViewId="0">
      <selection activeCell="C8" sqref="C8"/>
    </sheetView>
  </sheetViews>
  <sheetFormatPr defaultColWidth="9" defaultRowHeight="21.75" x14ac:dyDescent="0.5"/>
  <cols>
    <col min="1" max="1" width="61.85546875" style="269" customWidth="1"/>
    <col min="2" max="2" width="15.5703125" style="270" customWidth="1"/>
    <col min="3" max="3" width="17.5703125" style="269" customWidth="1"/>
    <col min="4" max="4" width="15.140625" style="269" customWidth="1"/>
    <col min="5" max="5" width="16.85546875" style="269" customWidth="1"/>
    <col min="6" max="6" width="17.5703125" style="269" customWidth="1"/>
    <col min="7" max="7" width="23.28515625" style="269" customWidth="1"/>
    <col min="8" max="8" width="12.85546875" style="269" bestFit="1" customWidth="1"/>
    <col min="9" max="9" width="15.85546875" style="269" customWidth="1"/>
    <col min="10" max="10" width="19.42578125" style="269" customWidth="1"/>
    <col min="11" max="22" width="9" style="269"/>
    <col min="23" max="23" width="14.5703125" style="269" bestFit="1" customWidth="1"/>
    <col min="24" max="24" width="12.42578125" style="269" bestFit="1" customWidth="1"/>
    <col min="25" max="25" width="13.5703125" style="269" bestFit="1" customWidth="1"/>
    <col min="26" max="26" width="14.5703125" style="269" bestFit="1" customWidth="1"/>
    <col min="27" max="16384" width="9" style="269"/>
  </cols>
  <sheetData>
    <row r="1" spans="1:26" x14ac:dyDescent="0.5">
      <c r="F1" s="425" t="s">
        <v>66</v>
      </c>
    </row>
    <row r="2" spans="1:26" x14ac:dyDescent="0.5">
      <c r="A2" s="268" t="s">
        <v>445</v>
      </c>
      <c r="B2" s="426"/>
      <c r="F2" s="425" t="s">
        <v>116</v>
      </c>
    </row>
    <row r="3" spans="1:26" ht="43.5" x14ac:dyDescent="0.5">
      <c r="A3" s="427" t="s">
        <v>197</v>
      </c>
      <c r="B3" s="428" t="s">
        <v>214</v>
      </c>
      <c r="C3" s="427" t="s">
        <v>67</v>
      </c>
      <c r="D3" s="429" t="s">
        <v>68</v>
      </c>
      <c r="E3" s="429" t="s">
        <v>224</v>
      </c>
      <c r="F3" s="427" t="s">
        <v>70</v>
      </c>
      <c r="V3" s="269" t="s">
        <v>198</v>
      </c>
      <c r="W3" s="98">
        <v>343183287.92000002</v>
      </c>
      <c r="X3" s="98">
        <v>688950</v>
      </c>
      <c r="Y3" s="98">
        <v>14487174.699999999</v>
      </c>
      <c r="Z3" s="98">
        <v>358359412.62</v>
      </c>
    </row>
    <row r="4" spans="1:26" x14ac:dyDescent="0.5">
      <c r="A4" s="337" t="s">
        <v>216</v>
      </c>
      <c r="B4" s="430" t="s">
        <v>198</v>
      </c>
      <c r="C4" s="431">
        <v>355502869.38999999</v>
      </c>
      <c r="D4" s="431">
        <v>0</v>
      </c>
      <c r="E4" s="431">
        <v>39254334.270000011</v>
      </c>
      <c r="F4" s="432">
        <f t="shared" ref="F4:F11" si="0">SUM(C4:E4)</f>
        <v>394757203.65999997</v>
      </c>
      <c r="I4" s="423"/>
      <c r="V4" s="269" t="s">
        <v>199</v>
      </c>
      <c r="W4" s="98">
        <v>24971268.27</v>
      </c>
      <c r="X4" s="98"/>
      <c r="Y4" s="98"/>
      <c r="Z4" s="98">
        <v>24971268.27</v>
      </c>
    </row>
    <row r="5" spans="1:26" x14ac:dyDescent="0.5">
      <c r="A5" s="433" t="s">
        <v>217</v>
      </c>
      <c r="B5" s="434" t="s">
        <v>199</v>
      </c>
      <c r="C5" s="435">
        <v>26331033.020000003</v>
      </c>
      <c r="D5" s="435">
        <v>0</v>
      </c>
      <c r="E5" s="435">
        <v>104455.8</v>
      </c>
      <c r="F5" s="436">
        <f t="shared" si="0"/>
        <v>26435488.820000004</v>
      </c>
      <c r="V5" s="269" t="s">
        <v>200</v>
      </c>
      <c r="W5" s="98">
        <v>56800206.039999999</v>
      </c>
      <c r="X5" s="98">
        <v>1030704</v>
      </c>
      <c r="Y5" s="98"/>
      <c r="Z5" s="98">
        <v>57830910.039999999</v>
      </c>
    </row>
    <row r="6" spans="1:26" x14ac:dyDescent="0.5">
      <c r="A6" s="433" t="s">
        <v>218</v>
      </c>
      <c r="B6" s="434" t="s">
        <v>200</v>
      </c>
      <c r="C6" s="435">
        <v>54652275.709999993</v>
      </c>
      <c r="D6" s="435">
        <v>0</v>
      </c>
      <c r="E6" s="435">
        <v>1410752</v>
      </c>
      <c r="F6" s="436">
        <f t="shared" si="0"/>
        <v>56063027.709999993</v>
      </c>
      <c r="I6" s="295"/>
      <c r="V6" s="269" t="s">
        <v>201</v>
      </c>
      <c r="W6" s="98">
        <v>156875078.86000004</v>
      </c>
      <c r="X6" s="98">
        <v>215324.33999999994</v>
      </c>
      <c r="Y6" s="98"/>
      <c r="Z6" s="98">
        <v>157090403.20000002</v>
      </c>
    </row>
    <row r="7" spans="1:26" x14ac:dyDescent="0.5">
      <c r="A7" s="433" t="s">
        <v>219</v>
      </c>
      <c r="B7" s="434" t="s">
        <v>201</v>
      </c>
      <c r="C7" s="435">
        <v>140372039.38999999</v>
      </c>
      <c r="D7" s="435">
        <v>0</v>
      </c>
      <c r="E7" s="435">
        <v>753495.65</v>
      </c>
      <c r="F7" s="436">
        <f t="shared" si="0"/>
        <v>141125535.03999999</v>
      </c>
      <c r="H7" s="295"/>
      <c r="V7" s="269" t="s">
        <v>202</v>
      </c>
      <c r="W7" s="98">
        <v>49149899.219999999</v>
      </c>
      <c r="X7" s="98">
        <v>3830896.0900000003</v>
      </c>
      <c r="Y7" s="98">
        <v>0</v>
      </c>
      <c r="Z7" s="98">
        <v>52980795.31000001</v>
      </c>
    </row>
    <row r="8" spans="1:26" x14ac:dyDescent="0.5">
      <c r="A8" s="433" t="s">
        <v>220</v>
      </c>
      <c r="B8" s="434" t="s">
        <v>202</v>
      </c>
      <c r="C8" s="435">
        <v>43859380.43999999</v>
      </c>
      <c r="D8" s="435">
        <v>0</v>
      </c>
      <c r="E8" s="435">
        <v>1880.2000000000003</v>
      </c>
      <c r="F8" s="436">
        <f>SUM(C8:E8)</f>
        <v>43861260.639999993</v>
      </c>
      <c r="V8" s="269" t="s">
        <v>203</v>
      </c>
      <c r="W8" s="98">
        <v>331940000</v>
      </c>
      <c r="X8" s="98">
        <v>4089362.6199999992</v>
      </c>
      <c r="Y8" s="98"/>
      <c r="Z8" s="98">
        <v>336029362.62</v>
      </c>
    </row>
    <row r="9" spans="1:26" x14ac:dyDescent="0.5">
      <c r="A9" s="433" t="s">
        <v>295</v>
      </c>
      <c r="B9" s="434" t="s">
        <v>215</v>
      </c>
      <c r="C9" s="435">
        <v>12230.62</v>
      </c>
      <c r="D9" s="435">
        <v>0</v>
      </c>
      <c r="E9" s="435">
        <v>0</v>
      </c>
      <c r="F9" s="436">
        <f t="shared" si="0"/>
        <v>12230.62</v>
      </c>
      <c r="W9" s="98"/>
      <c r="X9" s="98"/>
      <c r="Y9" s="98"/>
      <c r="Z9" s="98">
        <v>987709537.88000011</v>
      </c>
    </row>
    <row r="10" spans="1:26" hidden="1" x14ac:dyDescent="0.5">
      <c r="A10" s="433" t="s">
        <v>296</v>
      </c>
      <c r="B10" s="434">
        <v>5212</v>
      </c>
      <c r="C10" s="435"/>
      <c r="D10" s="435"/>
      <c r="E10" s="435"/>
      <c r="F10" s="436">
        <f t="shared" si="0"/>
        <v>0</v>
      </c>
      <c r="W10" s="98"/>
      <c r="X10" s="98"/>
      <c r="Y10" s="98"/>
      <c r="Z10" s="98"/>
    </row>
    <row r="11" spans="1:26" x14ac:dyDescent="0.5">
      <c r="A11" s="433"/>
      <c r="B11" s="437"/>
      <c r="C11" s="435"/>
      <c r="D11" s="435"/>
      <c r="E11" s="435"/>
      <c r="F11" s="436">
        <f t="shared" si="0"/>
        <v>0</v>
      </c>
    </row>
    <row r="12" spans="1:26" ht="22.5" thickBot="1" x14ac:dyDescent="0.55000000000000004">
      <c r="A12" s="438" t="s">
        <v>71</v>
      </c>
      <c r="B12" s="438"/>
      <c r="C12" s="439">
        <f>SUM(C4:C11)</f>
        <v>620729828.56999993</v>
      </c>
      <c r="D12" s="439">
        <f>SUM(D4:D11)</f>
        <v>0</v>
      </c>
      <c r="E12" s="439">
        <f>SUM(E4:E11)</f>
        <v>41524917.920000009</v>
      </c>
      <c r="F12" s="439">
        <f>SUM(F4:F11)</f>
        <v>662254746.48999989</v>
      </c>
      <c r="G12" s="295"/>
      <c r="H12" s="440"/>
      <c r="I12" s="423"/>
      <c r="J12" s="98"/>
    </row>
    <row r="13" spans="1:26" ht="16.149999999999999" customHeight="1" thickTop="1" x14ac:dyDescent="0.5">
      <c r="A13" s="218"/>
      <c r="B13" s="441"/>
      <c r="C13" s="294"/>
      <c r="D13" s="294"/>
      <c r="E13" s="294"/>
      <c r="F13" s="294"/>
      <c r="G13" s="295"/>
      <c r="H13" s="440"/>
      <c r="I13" s="423"/>
      <c r="J13" s="98"/>
    </row>
    <row r="14" spans="1:26" s="639" customFormat="1" ht="16.149999999999999" customHeight="1" x14ac:dyDescent="0.45">
      <c r="A14" s="636" t="s">
        <v>84</v>
      </c>
      <c r="B14" s="637" t="s">
        <v>267</v>
      </c>
      <c r="C14" s="638" t="s">
        <v>268</v>
      </c>
      <c r="D14" s="638" t="s">
        <v>269</v>
      </c>
      <c r="F14" s="640"/>
      <c r="G14" s="640"/>
      <c r="J14" s="641"/>
    </row>
    <row r="15" spans="1:26" s="649" customFormat="1" ht="16.149999999999999" customHeight="1" x14ac:dyDescent="0.45">
      <c r="A15" s="642" t="s">
        <v>204</v>
      </c>
      <c r="B15" s="643"/>
      <c r="C15" s="644"/>
      <c r="D15" s="644"/>
      <c r="E15" s="647">
        <v>1462321377.29</v>
      </c>
      <c r="F15" s="646"/>
      <c r="G15" s="647"/>
      <c r="H15" s="648"/>
    </row>
    <row r="16" spans="1:26" s="649" customFormat="1" ht="16.149999999999999" customHeight="1" x14ac:dyDescent="0.45">
      <c r="A16" s="642" t="s">
        <v>446</v>
      </c>
      <c r="B16" s="643"/>
      <c r="C16" s="642"/>
      <c r="D16" s="644"/>
      <c r="E16" s="650"/>
      <c r="F16" s="650"/>
      <c r="G16" s="646"/>
      <c r="H16" s="648"/>
    </row>
    <row r="17" spans="1:11" s="649" customFormat="1" ht="16.5" customHeight="1" x14ac:dyDescent="0.45">
      <c r="A17" s="649" t="s">
        <v>434</v>
      </c>
      <c r="B17" s="643"/>
      <c r="C17" s="642"/>
      <c r="D17" s="644"/>
      <c r="E17" s="644"/>
      <c r="F17" s="650"/>
      <c r="G17" s="646"/>
      <c r="H17" s="651"/>
    </row>
    <row r="18" spans="1:11" s="649" customFormat="1" ht="16.5" customHeight="1" x14ac:dyDescent="0.45">
      <c r="A18" s="652" t="s">
        <v>364</v>
      </c>
      <c r="B18" s="653">
        <v>5101020101</v>
      </c>
      <c r="C18" s="658">
        <v>6110210</v>
      </c>
      <c r="D18" s="645">
        <v>84090</v>
      </c>
      <c r="E18" s="644"/>
      <c r="F18" s="650"/>
      <c r="G18" s="646"/>
      <c r="H18" s="651"/>
    </row>
    <row r="19" spans="1:11" s="639" customFormat="1" ht="16.5" customHeight="1" x14ac:dyDescent="0.45">
      <c r="A19" s="652" t="s">
        <v>365</v>
      </c>
      <c r="B19" s="653">
        <v>5101040102</v>
      </c>
      <c r="C19" s="658">
        <v>6110410</v>
      </c>
      <c r="D19" s="645">
        <v>116421938.34</v>
      </c>
      <c r="E19" s="654"/>
      <c r="F19" s="655"/>
      <c r="I19" s="648"/>
    </row>
    <row r="20" spans="1:11" s="639" customFormat="1" ht="16.5" customHeight="1" x14ac:dyDescent="0.45">
      <c r="A20" s="652" t="s">
        <v>366</v>
      </c>
      <c r="B20" s="653">
        <v>5101040103</v>
      </c>
      <c r="C20" s="658">
        <v>6110410</v>
      </c>
      <c r="D20" s="645">
        <v>42276.63</v>
      </c>
      <c r="E20" s="654"/>
      <c r="F20" s="655"/>
    </row>
    <row r="21" spans="1:11" s="639" customFormat="1" ht="16.5" customHeight="1" x14ac:dyDescent="0.45">
      <c r="A21" s="652" t="s">
        <v>367</v>
      </c>
      <c r="B21" s="653">
        <v>5101040104</v>
      </c>
      <c r="C21" s="658">
        <v>6110410</v>
      </c>
      <c r="D21" s="645">
        <v>1237874.3999999999</v>
      </c>
      <c r="E21" s="654"/>
      <c r="F21" s="655"/>
    </row>
    <row r="22" spans="1:11" s="639" customFormat="1" ht="16.5" customHeight="1" x14ac:dyDescent="0.45">
      <c r="A22" s="652" t="s">
        <v>368</v>
      </c>
      <c r="B22" s="653">
        <v>5101040105</v>
      </c>
      <c r="C22" s="658">
        <v>6110410</v>
      </c>
      <c r="D22" s="645">
        <v>10630731.369999999</v>
      </c>
      <c r="E22" s="654"/>
      <c r="F22" s="655"/>
      <c r="I22" s="649"/>
      <c r="K22" s="649"/>
    </row>
    <row r="23" spans="1:11" s="639" customFormat="1" ht="16.5" customHeight="1" x14ac:dyDescent="0.45">
      <c r="A23" s="652" t="s">
        <v>369</v>
      </c>
      <c r="B23" s="653">
        <v>5101040106</v>
      </c>
      <c r="C23" s="658">
        <v>6110410</v>
      </c>
      <c r="D23" s="645">
        <v>2970725</v>
      </c>
      <c r="E23" s="654"/>
      <c r="F23" s="655"/>
    </row>
    <row r="24" spans="1:11" s="639" customFormat="1" ht="16.5" customHeight="1" x14ac:dyDescent="0.45">
      <c r="A24" s="652" t="s">
        <v>370</v>
      </c>
      <c r="B24" s="653">
        <v>5101040107</v>
      </c>
      <c r="C24" s="658">
        <v>6110410</v>
      </c>
      <c r="D24" s="645">
        <v>1772465.25</v>
      </c>
      <c r="E24" s="654"/>
      <c r="F24" s="655"/>
    </row>
    <row r="25" spans="1:11" s="639" customFormat="1" ht="16.5" customHeight="1" x14ac:dyDescent="0.45">
      <c r="A25" s="652" t="s">
        <v>371</v>
      </c>
      <c r="B25" s="653">
        <v>5101040108</v>
      </c>
      <c r="C25" s="658">
        <v>6110410</v>
      </c>
      <c r="D25" s="656">
        <v>8080992.0999999996</v>
      </c>
      <c r="E25" s="654"/>
      <c r="F25" s="655"/>
    </row>
    <row r="26" spans="1:11" s="639" customFormat="1" ht="16.5" customHeight="1" x14ac:dyDescent="0.45">
      <c r="A26" s="652" t="s">
        <v>372</v>
      </c>
      <c r="B26" s="653">
        <v>5101040111</v>
      </c>
      <c r="C26" s="658">
        <v>6110410</v>
      </c>
      <c r="D26" s="645">
        <v>53676</v>
      </c>
      <c r="E26" s="654"/>
      <c r="F26" s="650"/>
    </row>
    <row r="27" spans="1:11" s="639" customFormat="1" ht="16.5" customHeight="1" x14ac:dyDescent="0.45">
      <c r="A27" s="652" t="s">
        <v>373</v>
      </c>
      <c r="B27" s="653">
        <v>5101040120</v>
      </c>
      <c r="C27" s="658">
        <v>6110410</v>
      </c>
      <c r="D27" s="657">
        <v>8341132.6500000004</v>
      </c>
      <c r="E27" s="654"/>
      <c r="F27" s="655"/>
    </row>
    <row r="28" spans="1:11" s="649" customFormat="1" ht="16.5" customHeight="1" x14ac:dyDescent="0.45">
      <c r="A28" s="652" t="s">
        <v>374</v>
      </c>
      <c r="B28" s="653">
        <v>5101040202</v>
      </c>
      <c r="C28" s="658">
        <v>6110210</v>
      </c>
      <c r="D28" s="645">
        <v>245227.5</v>
      </c>
      <c r="E28" s="654"/>
      <c r="F28" s="642"/>
    </row>
    <row r="29" spans="1:11" s="649" customFormat="1" ht="16.5" customHeight="1" x14ac:dyDescent="0.45">
      <c r="A29" s="652" t="s">
        <v>375</v>
      </c>
      <c r="B29" s="653">
        <v>5101040204</v>
      </c>
      <c r="C29" s="658">
        <v>6110210</v>
      </c>
      <c r="D29" s="645">
        <v>15835263.25</v>
      </c>
      <c r="E29" s="654"/>
      <c r="F29" s="642"/>
    </row>
    <row r="30" spans="1:11" s="649" customFormat="1" ht="16.5" customHeight="1" x14ac:dyDescent="0.45">
      <c r="A30" s="652" t="s">
        <v>376</v>
      </c>
      <c r="B30" s="653">
        <v>5101040205</v>
      </c>
      <c r="C30" s="658">
        <v>6110210</v>
      </c>
      <c r="D30" s="645">
        <v>3663889.64</v>
      </c>
      <c r="E30" s="654"/>
      <c r="F30" s="642"/>
    </row>
    <row r="31" spans="1:11" s="649" customFormat="1" ht="16.5" customHeight="1" x14ac:dyDescent="0.45">
      <c r="A31" s="652" t="s">
        <v>377</v>
      </c>
      <c r="B31" s="653">
        <v>5101040206</v>
      </c>
      <c r="C31" s="658">
        <v>6110210</v>
      </c>
      <c r="D31" s="645">
        <v>666000</v>
      </c>
      <c r="E31" s="654"/>
      <c r="F31" s="642"/>
    </row>
    <row r="32" spans="1:11" s="649" customFormat="1" ht="16.5" customHeight="1" x14ac:dyDescent="0.45">
      <c r="A32" s="652" t="s">
        <v>378</v>
      </c>
      <c r="B32" s="653">
        <v>5101040207</v>
      </c>
      <c r="C32" s="658">
        <v>6110210</v>
      </c>
      <c r="D32" s="645">
        <v>85627</v>
      </c>
      <c r="E32" s="654"/>
      <c r="F32" s="642"/>
    </row>
    <row r="33" spans="1:9" s="649" customFormat="1" ht="16.5" customHeight="1" x14ac:dyDescent="0.45">
      <c r="A33" s="652" t="s">
        <v>379</v>
      </c>
      <c r="B33" s="653">
        <v>5209010112</v>
      </c>
      <c r="C33" s="658">
        <v>6192000</v>
      </c>
      <c r="D33" s="645">
        <v>6473436.8399999999</v>
      </c>
      <c r="E33" s="654"/>
      <c r="F33" s="642"/>
    </row>
    <row r="34" spans="1:9" s="649" customFormat="1" ht="16.5" customHeight="1" x14ac:dyDescent="0.45">
      <c r="A34" s="652" t="s">
        <v>380</v>
      </c>
      <c r="B34" s="653">
        <v>5210010102</v>
      </c>
      <c r="C34" s="658">
        <v>6191000</v>
      </c>
      <c r="D34" s="645">
        <v>1588866.38</v>
      </c>
      <c r="E34" s="654"/>
      <c r="F34" s="642"/>
    </row>
    <row r="35" spans="1:9" s="649" customFormat="1" ht="16.5" customHeight="1" x14ac:dyDescent="0.45">
      <c r="A35" s="652" t="s">
        <v>297</v>
      </c>
      <c r="B35" s="653">
        <v>5210010103</v>
      </c>
      <c r="C35" s="658">
        <v>6119000</v>
      </c>
      <c r="D35" s="645">
        <v>2728591.64</v>
      </c>
      <c r="E35" s="654"/>
      <c r="F35" s="642"/>
    </row>
    <row r="36" spans="1:9" s="649" customFormat="1" ht="16.5" customHeight="1" x14ac:dyDescent="0.45">
      <c r="A36" s="652" t="s">
        <v>298</v>
      </c>
      <c r="B36" s="653">
        <v>5210010103</v>
      </c>
      <c r="C36" s="658">
        <v>6119200</v>
      </c>
      <c r="D36" s="645">
        <v>514240.99</v>
      </c>
      <c r="E36" s="654"/>
      <c r="F36" s="642"/>
    </row>
    <row r="37" spans="1:9" s="649" customFormat="1" ht="16.5" customHeight="1" x14ac:dyDescent="0.45">
      <c r="A37" s="652" t="s">
        <v>381</v>
      </c>
      <c r="B37" s="653">
        <v>5210010103</v>
      </c>
      <c r="C37" s="658">
        <v>6126000</v>
      </c>
      <c r="D37" s="645">
        <v>8930</v>
      </c>
      <c r="E37" s="654"/>
      <c r="F37" s="642"/>
    </row>
    <row r="38" spans="1:9" s="649" customFormat="1" ht="16.5" customHeight="1" x14ac:dyDescent="0.45">
      <c r="A38" s="652" t="s">
        <v>382</v>
      </c>
      <c r="B38" s="653">
        <v>5210010105</v>
      </c>
      <c r="C38" s="658">
        <v>6126000</v>
      </c>
      <c r="D38" s="645">
        <v>4370734.5</v>
      </c>
      <c r="E38" s="654"/>
      <c r="F38" s="642"/>
    </row>
    <row r="39" spans="1:9" s="649" customFormat="1" ht="16.5" customHeight="1" x14ac:dyDescent="0.45">
      <c r="A39" s="652" t="s">
        <v>363</v>
      </c>
      <c r="B39" s="653">
        <v>5210010118</v>
      </c>
      <c r="C39" s="658">
        <v>6131000</v>
      </c>
      <c r="D39" s="654">
        <v>44314206.969999999</v>
      </c>
      <c r="E39" s="645"/>
    </row>
    <row r="40" spans="1:9" s="267" customFormat="1" ht="10.5" customHeight="1" x14ac:dyDescent="0.5">
      <c r="A40" s="443"/>
      <c r="B40" s="220"/>
      <c r="C40" s="144"/>
      <c r="D40" s="225"/>
      <c r="E40" s="219"/>
    </row>
    <row r="41" spans="1:9" ht="15" customHeight="1" x14ac:dyDescent="0.5">
      <c r="A41" s="218" t="s">
        <v>444</v>
      </c>
      <c r="B41" s="444"/>
      <c r="C41" s="294"/>
      <c r="D41" s="445"/>
      <c r="E41" s="144"/>
    </row>
    <row r="42" spans="1:9" s="639" customFormat="1" ht="15" customHeight="1" x14ac:dyDescent="0.45">
      <c r="A42" s="652" t="s">
        <v>383</v>
      </c>
      <c r="B42" s="658">
        <v>5107010101</v>
      </c>
      <c r="C42" s="658">
        <v>6111500</v>
      </c>
      <c r="D42" s="654">
        <f>565000000-50000000</f>
        <v>515000000</v>
      </c>
      <c r="G42" s="659" t="s">
        <v>436</v>
      </c>
      <c r="H42" s="660"/>
      <c r="I42" s="654">
        <v>565000000</v>
      </c>
    </row>
    <row r="43" spans="1:9" s="639" customFormat="1" ht="15" customHeight="1" x14ac:dyDescent="0.45">
      <c r="A43" s="652" t="s">
        <v>438</v>
      </c>
      <c r="B43" s="658">
        <v>5107010101</v>
      </c>
      <c r="C43" s="658">
        <v>6111500</v>
      </c>
      <c r="D43" s="654">
        <f>30000000+20000000</f>
        <v>50000000</v>
      </c>
      <c r="G43" s="659" t="s">
        <v>437</v>
      </c>
      <c r="H43" s="661"/>
      <c r="I43" s="662">
        <f>+D42+D43</f>
        <v>565000000</v>
      </c>
    </row>
    <row r="44" spans="1:9" s="639" customFormat="1" ht="15" customHeight="1" x14ac:dyDescent="0.45">
      <c r="A44" s="652" t="s">
        <v>362</v>
      </c>
      <c r="B44" s="658">
        <v>5212010199</v>
      </c>
      <c r="C44" s="658">
        <v>6131000</v>
      </c>
      <c r="D44" s="654">
        <f>2960+1733496.35</f>
        <v>1736456.35</v>
      </c>
      <c r="G44" s="659" t="s">
        <v>384</v>
      </c>
      <c r="H44" s="661"/>
    </row>
    <row r="45" spans="1:9" s="639" customFormat="1" ht="17.25" customHeight="1" x14ac:dyDescent="0.45">
      <c r="A45" s="652" t="s">
        <v>439</v>
      </c>
      <c r="B45" s="658">
        <v>5212010199</v>
      </c>
      <c r="C45" s="658">
        <v>6126000</v>
      </c>
      <c r="D45" s="654">
        <f>1421360+267618</f>
        <v>1688978</v>
      </c>
      <c r="E45" s="662"/>
      <c r="G45" s="659" t="s">
        <v>384</v>
      </c>
      <c r="H45" s="661"/>
    </row>
    <row r="46" spans="1:9" s="639" customFormat="1" ht="17.25" customHeight="1" x14ac:dyDescent="0.45">
      <c r="A46" s="652" t="s">
        <v>440</v>
      </c>
      <c r="B46" s="658">
        <v>5210010121</v>
      </c>
      <c r="C46" s="658">
        <v>6126000</v>
      </c>
      <c r="D46" s="663">
        <v>1510280</v>
      </c>
      <c r="E46" s="662">
        <f>SUM(D18:D46)</f>
        <v>800066630.80000007</v>
      </c>
      <c r="G46" s="659"/>
      <c r="H46" s="661"/>
    </row>
    <row r="47" spans="1:9" ht="17.25" customHeight="1" thickBot="1" x14ac:dyDescent="0.55000000000000004">
      <c r="A47" s="267" t="s">
        <v>227</v>
      </c>
      <c r="B47" s="447"/>
      <c r="C47" s="219"/>
      <c r="D47" s="219"/>
      <c r="E47" s="448">
        <f>+E15-E46</f>
        <v>662254746.48999989</v>
      </c>
      <c r="G47" s="449">
        <f>+F12-E47</f>
        <v>0</v>
      </c>
    </row>
    <row r="48" spans="1:9" ht="22.5" thickTop="1" x14ac:dyDescent="0.5">
      <c r="A48" s="450"/>
      <c r="B48" s="446"/>
      <c r="C48" s="98"/>
      <c r="D48" s="219"/>
      <c r="E48" s="98"/>
      <c r="F48" s="295"/>
      <c r="G48" s="451"/>
      <c r="I48" s="124"/>
    </row>
    <row r="49" spans="2:7" x14ac:dyDescent="0.5">
      <c r="C49" s="98"/>
      <c r="D49" s="98"/>
      <c r="F49" s="295"/>
      <c r="G49" s="446"/>
    </row>
    <row r="50" spans="2:7" x14ac:dyDescent="0.5">
      <c r="B50" s="269"/>
    </row>
    <row r="52" spans="2:7" x14ac:dyDescent="0.5">
      <c r="F52" s="295"/>
    </row>
  </sheetData>
  <phoneticPr fontId="4" type="noConversion"/>
  <pageMargins left="0.78740157480314965" right="0" top="0.39370078740157483" bottom="0.15748031496062992" header="0" footer="0"/>
  <pageSetup paperSize="9" scale="68" orientation="landscape" r:id="rId1"/>
  <headerFooter alignWithMargins="0"/>
  <colBreaks count="1" manualBreakCount="1">
    <brk id="7" max="1048575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030A0"/>
  </sheetPr>
  <dimension ref="A1:K23"/>
  <sheetViews>
    <sheetView view="pageBreakPreview" zoomScaleNormal="100" zoomScaleSheetLayoutView="100" workbookViewId="0">
      <selection activeCell="D4" sqref="D4"/>
    </sheetView>
  </sheetViews>
  <sheetFormatPr defaultRowHeight="21.75" x14ac:dyDescent="0.5"/>
  <cols>
    <col min="1" max="1" width="16.7109375" style="14" customWidth="1"/>
    <col min="2" max="2" width="19.42578125" style="14" customWidth="1"/>
    <col min="3" max="8" width="14.42578125" style="14" customWidth="1"/>
    <col min="9" max="9" width="10.42578125" style="14" customWidth="1"/>
    <col min="10" max="10" width="13.28515625" style="14" customWidth="1"/>
    <col min="11" max="11" width="12.7109375" style="14" customWidth="1"/>
    <col min="12" max="16384" width="9.140625" style="14"/>
  </cols>
  <sheetData>
    <row r="1" spans="1:11" x14ac:dyDescent="0.5">
      <c r="A1" s="1592" t="s">
        <v>400</v>
      </c>
      <c r="B1" s="1592"/>
      <c r="C1" s="1592"/>
      <c r="D1" s="1592"/>
      <c r="E1" s="1592"/>
      <c r="F1" s="1592"/>
      <c r="G1" s="1592"/>
      <c r="H1" s="1592"/>
      <c r="I1" s="1592"/>
      <c r="J1" s="1592"/>
      <c r="K1" s="1592"/>
    </row>
    <row r="2" spans="1:11" ht="22.5" thickBot="1" x14ac:dyDescent="0.55000000000000004">
      <c r="A2" s="26" t="s">
        <v>401</v>
      </c>
      <c r="B2" s="26"/>
      <c r="J2" s="13" t="s">
        <v>194</v>
      </c>
    </row>
    <row r="3" spans="1:11" s="27" customFormat="1" x14ac:dyDescent="0.2">
      <c r="A3" s="1586" t="s">
        <v>25</v>
      </c>
      <c r="B3" s="1587"/>
      <c r="C3" s="1593" t="s">
        <v>327</v>
      </c>
      <c r="D3" s="1594"/>
      <c r="E3" s="1594"/>
      <c r="F3" s="1593" t="s">
        <v>402</v>
      </c>
      <c r="G3" s="1594"/>
      <c r="H3" s="1594"/>
      <c r="I3" s="1595" t="s">
        <v>120</v>
      </c>
      <c r="J3" s="1596"/>
      <c r="K3" s="1597"/>
    </row>
    <row r="4" spans="1:11" s="27" customFormat="1" ht="65.25" x14ac:dyDescent="0.2">
      <c r="A4" s="1588"/>
      <c r="B4" s="1589"/>
      <c r="C4" s="454" t="s">
        <v>10</v>
      </c>
      <c r="D4" s="455" t="s">
        <v>11</v>
      </c>
      <c r="E4" s="30" t="s">
        <v>70</v>
      </c>
      <c r="F4" s="28" t="s">
        <v>10</v>
      </c>
      <c r="G4" s="29" t="s">
        <v>11</v>
      </c>
      <c r="H4" s="30" t="s">
        <v>70</v>
      </c>
      <c r="I4" s="31" t="s">
        <v>12</v>
      </c>
      <c r="J4" s="32" t="s">
        <v>13</v>
      </c>
      <c r="K4" s="33" t="s">
        <v>121</v>
      </c>
    </row>
    <row r="5" spans="1:11" s="13" customFormat="1" x14ac:dyDescent="0.2">
      <c r="A5" s="258" t="s">
        <v>19</v>
      </c>
      <c r="B5" s="48" t="s">
        <v>104</v>
      </c>
      <c r="C5" s="49"/>
      <c r="D5" s="50">
        <v>15393291.450000001</v>
      </c>
      <c r="E5" s="45">
        <f>SUM(C5:D5)</f>
        <v>15393291.450000001</v>
      </c>
      <c r="F5" s="49"/>
      <c r="G5" s="50">
        <f>+'ต.2=กระจาย ต.1สู่ ต.2-ปี61'!J28+'ต.2=กระจาย ต.1สู่ ต.2-ปี61'!O28</f>
        <v>14121290.040000003</v>
      </c>
      <c r="H5" s="45">
        <f>SUM(F5:G5)</f>
        <v>14121290.040000003</v>
      </c>
      <c r="I5" s="50" t="e">
        <f t="shared" ref="I5:K6" si="0">+F5/C5*100-100</f>
        <v>#DIV/0!</v>
      </c>
      <c r="J5" s="50">
        <f t="shared" si="0"/>
        <v>-8.263349096791103</v>
      </c>
      <c r="K5" s="51">
        <f t="shared" si="0"/>
        <v>-8.263349096791103</v>
      </c>
    </row>
    <row r="6" spans="1:11" s="13" customFormat="1" x14ac:dyDescent="0.2">
      <c r="A6" s="258" t="s">
        <v>20</v>
      </c>
      <c r="B6" s="48" t="s">
        <v>77</v>
      </c>
      <c r="C6" s="53">
        <v>42438557.740000002</v>
      </c>
      <c r="D6" s="50"/>
      <c r="E6" s="45">
        <f>SUM(C6:D6)</f>
        <v>42438557.740000002</v>
      </c>
      <c r="F6" s="53">
        <f>+'ต.2=กระจาย ต.1สู่ ต.2-ปี61'!I28+'ต.2=กระจาย ต.1สู่ ต.2-ปี61'!N28</f>
        <v>43873491.260000013</v>
      </c>
      <c r="G6" s="50"/>
      <c r="H6" s="45">
        <f>SUM(F6:G6)</f>
        <v>43873491.260000013</v>
      </c>
      <c r="I6" s="53">
        <f t="shared" si="0"/>
        <v>3.3812023697674647</v>
      </c>
      <c r="J6" s="50" t="e">
        <f t="shared" si="0"/>
        <v>#DIV/0!</v>
      </c>
      <c r="K6" s="51">
        <f t="shared" si="0"/>
        <v>3.3812023697674647</v>
      </c>
    </row>
    <row r="7" spans="1:11" s="13" customFormat="1" x14ac:dyDescent="0.2">
      <c r="A7" s="258"/>
      <c r="B7" s="48"/>
      <c r="C7" s="53"/>
      <c r="D7" s="50"/>
      <c r="E7" s="45"/>
      <c r="F7" s="53"/>
      <c r="G7" s="50"/>
      <c r="H7" s="51"/>
      <c r="I7" s="53"/>
      <c r="J7" s="50"/>
      <c r="K7" s="51"/>
    </row>
    <row r="8" spans="1:11" s="13" customFormat="1" x14ac:dyDescent="0.2">
      <c r="A8" s="258"/>
      <c r="B8" s="48"/>
      <c r="C8" s="53"/>
      <c r="D8" s="50"/>
      <c r="E8" s="51"/>
      <c r="F8" s="53"/>
      <c r="G8" s="50"/>
      <c r="H8" s="51"/>
      <c r="I8" s="53"/>
      <c r="J8" s="50"/>
      <c r="K8" s="51"/>
    </row>
    <row r="9" spans="1:11" s="13" customFormat="1" x14ac:dyDescent="0.2">
      <c r="A9" s="258"/>
      <c r="B9" s="48"/>
      <c r="C9" s="53"/>
      <c r="D9" s="50"/>
      <c r="E9" s="51"/>
      <c r="F9" s="53"/>
      <c r="G9" s="50"/>
      <c r="H9" s="51"/>
      <c r="I9" s="53"/>
      <c r="J9" s="50"/>
      <c r="K9" s="51"/>
    </row>
    <row r="10" spans="1:11" s="13" customFormat="1" x14ac:dyDescent="0.2">
      <c r="A10" s="258"/>
      <c r="B10" s="48"/>
      <c r="C10" s="53"/>
      <c r="D10" s="50"/>
      <c r="E10" s="51"/>
      <c r="F10" s="53"/>
      <c r="G10" s="50"/>
      <c r="H10" s="51"/>
      <c r="I10" s="53"/>
      <c r="J10" s="50"/>
      <c r="K10" s="51"/>
    </row>
    <row r="11" spans="1:11" s="13" customFormat="1" x14ac:dyDescent="0.2">
      <c r="A11" s="258"/>
      <c r="B11" s="48"/>
      <c r="C11" s="53"/>
      <c r="D11" s="50"/>
      <c r="E11" s="51"/>
      <c r="F11" s="53"/>
      <c r="G11" s="50"/>
      <c r="H11" s="51"/>
      <c r="I11" s="53"/>
      <c r="J11" s="50"/>
      <c r="K11" s="51"/>
    </row>
    <row r="12" spans="1:11" s="13" customFormat="1" x14ac:dyDescent="0.2">
      <c r="A12" s="258"/>
      <c r="B12" s="365"/>
      <c r="C12" s="53"/>
      <c r="D12" s="50"/>
      <c r="E12" s="51"/>
      <c r="F12" s="53"/>
      <c r="G12" s="50"/>
      <c r="H12" s="51"/>
      <c r="I12" s="52"/>
      <c r="J12" s="67"/>
      <c r="K12" s="68"/>
    </row>
    <row r="13" spans="1:11" s="13" customFormat="1" x14ac:dyDescent="0.2">
      <c r="A13" s="49"/>
      <c r="B13" s="366"/>
      <c r="C13" s="53"/>
      <c r="D13" s="50"/>
      <c r="E13" s="51"/>
      <c r="F13" s="53"/>
      <c r="G13" s="50"/>
      <c r="H13" s="51"/>
      <c r="I13" s="53"/>
      <c r="J13" s="50"/>
      <c r="K13" s="51"/>
    </row>
    <row r="14" spans="1:11" s="5" customFormat="1" ht="22.5" thickBot="1" x14ac:dyDescent="0.25">
      <c r="A14" s="1590" t="s">
        <v>125</v>
      </c>
      <c r="B14" s="1591"/>
      <c r="C14" s="62">
        <f t="shared" ref="C14:H14" si="1">SUM(C5:C13)</f>
        <v>42438557.740000002</v>
      </c>
      <c r="D14" s="63">
        <f t="shared" si="1"/>
        <v>15393291.450000001</v>
      </c>
      <c r="E14" s="64">
        <f>SUM(C14:D14)</f>
        <v>57831849.190000005</v>
      </c>
      <c r="F14" s="62">
        <f t="shared" si="1"/>
        <v>43873491.260000013</v>
      </c>
      <c r="G14" s="63">
        <f t="shared" si="1"/>
        <v>14121290.040000003</v>
      </c>
      <c r="H14" s="64">
        <f t="shared" si="1"/>
        <v>57994781.300000012</v>
      </c>
      <c r="I14" s="62">
        <f>+F14/C14*100-100</f>
        <v>3.3812023697674647</v>
      </c>
      <c r="J14" s="63">
        <f>+G14/D14*100-100</f>
        <v>-8.263349096791103</v>
      </c>
      <c r="K14" s="64">
        <f>+H14/E14*100-100</f>
        <v>0.28173422133662029</v>
      </c>
    </row>
    <row r="15" spans="1:11" ht="22.5" thickTop="1" x14ac:dyDescent="0.5">
      <c r="C15" s="14">
        <v>42438557.740000002</v>
      </c>
      <c r="D15" s="14">
        <v>15393291.450000001</v>
      </c>
      <c r="E15" s="14">
        <v>57831849.190000005</v>
      </c>
      <c r="H15" s="14">
        <f>+'ตารางที่ 11-ปี 60 จาก ต.2 ไม่'!V19+'ตารางที่ 12-ปี60 ไม่'!H14</f>
        <v>662254746.49000001</v>
      </c>
    </row>
    <row r="16" spans="1:11" s="1" customFormat="1" hidden="1" x14ac:dyDescent="0.5">
      <c r="B16" s="1" t="s">
        <v>21</v>
      </c>
    </row>
    <row r="17" spans="1:11" s="1" customFormat="1" hidden="1" x14ac:dyDescent="0.5">
      <c r="B17" s="1" t="s">
        <v>23</v>
      </c>
    </row>
    <row r="18" spans="1:11" s="1" customFormat="1" hidden="1" x14ac:dyDescent="0.5">
      <c r="A18" s="1" t="s">
        <v>26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1" s="1" customFormat="1" hidden="1" x14ac:dyDescent="0.5">
      <c r="A19" s="1" t="s">
        <v>27</v>
      </c>
      <c r="C19" s="66"/>
      <c r="D19" s="66"/>
      <c r="E19" s="66"/>
      <c r="F19" s="66"/>
      <c r="G19" s="66"/>
      <c r="H19" s="66"/>
      <c r="I19" s="66"/>
      <c r="J19" s="66"/>
      <c r="K19" s="66"/>
    </row>
    <row r="20" spans="1:11" s="1" customFormat="1" hidden="1" x14ac:dyDescent="0.5"/>
    <row r="21" spans="1:11" hidden="1" x14ac:dyDescent="0.5"/>
    <row r="22" spans="1:11" hidden="1" x14ac:dyDescent="0.5"/>
    <row r="23" spans="1:11" x14ac:dyDescent="0.5">
      <c r="E23" s="14">
        <f>+E14-E15</f>
        <v>0</v>
      </c>
      <c r="H23" s="14">
        <f>+'ต.2=กระจาย ต.1สู่ ต.2-ปี61'!R28</f>
        <v>662254746.48999989</v>
      </c>
    </row>
  </sheetData>
  <mergeCells count="6">
    <mergeCell ref="A3:B4"/>
    <mergeCell ref="A14:B14"/>
    <mergeCell ref="A1:K1"/>
    <mergeCell ref="C3:E3"/>
    <mergeCell ref="F3:H3"/>
    <mergeCell ref="I3:K3"/>
  </mergeCells>
  <phoneticPr fontId="4" type="noConversion"/>
  <printOptions horizontalCentered="1"/>
  <pageMargins left="0.19685039370078741" right="0" top="0.39370078740157483" bottom="0.59055118110236227" header="0" footer="0.51181102362204722"/>
  <pageSetup paperSize="9" scale="85" orientation="landscape" r:id="rId1"/>
  <headerFooter alignWithMargins="0"/>
  <colBreaks count="1" manualBreakCount="1">
    <brk id="11" max="1048575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O38"/>
  <sheetViews>
    <sheetView view="pageBreakPreview" zoomScaleNormal="100" zoomScaleSheetLayoutView="100" workbookViewId="0">
      <pane ySplit="4" topLeftCell="A5" activePane="bottomLeft" state="frozen"/>
      <selection activeCell="E30" sqref="E30"/>
      <selection pane="bottomLeft" activeCell="M10" sqref="M10"/>
    </sheetView>
  </sheetViews>
  <sheetFormatPr defaultRowHeight="21.75" x14ac:dyDescent="0.5"/>
  <cols>
    <col min="1" max="1" width="13.42578125" style="14" customWidth="1"/>
    <col min="2" max="2" width="13.5703125" style="14" customWidth="1"/>
    <col min="3" max="5" width="14.5703125" style="14" customWidth="1"/>
    <col min="6" max="6" width="13.85546875" style="14" customWidth="1"/>
    <col min="7" max="7" width="14.140625" style="14" customWidth="1"/>
    <col min="8" max="10" width="14.7109375" style="14" bestFit="1" customWidth="1"/>
    <col min="11" max="11" width="11.140625" style="14" customWidth="1"/>
    <col min="12" max="12" width="13.85546875" style="14" customWidth="1"/>
    <col min="13" max="13" width="12" style="14" customWidth="1"/>
    <col min="14" max="14" width="12.85546875" style="14" customWidth="1"/>
    <col min="15" max="15" width="13.85546875" style="14" bestFit="1" customWidth="1"/>
    <col min="16" max="16384" width="9.140625" style="14"/>
  </cols>
  <sheetData>
    <row r="1" spans="1:15" x14ac:dyDescent="0.5">
      <c r="A1" s="1592" t="s">
        <v>400</v>
      </c>
      <c r="B1" s="1592"/>
      <c r="C1" s="1592"/>
      <c r="D1" s="1592"/>
      <c r="E1" s="1592"/>
      <c r="F1" s="1592"/>
      <c r="G1" s="1592"/>
      <c r="H1" s="1592"/>
      <c r="I1" s="1592"/>
      <c r="J1" s="1592"/>
      <c r="K1" s="1592"/>
      <c r="L1" s="1592"/>
      <c r="M1" s="1592"/>
    </row>
    <row r="2" spans="1:15" ht="22.5" thickBot="1" x14ac:dyDescent="0.55000000000000004">
      <c r="A2" s="26" t="s">
        <v>301</v>
      </c>
      <c r="B2" s="26"/>
      <c r="L2" s="13" t="s">
        <v>194</v>
      </c>
    </row>
    <row r="3" spans="1:15" s="27" customFormat="1" x14ac:dyDescent="0.2">
      <c r="A3" s="1586" t="s">
        <v>25</v>
      </c>
      <c r="B3" s="1587"/>
      <c r="C3" s="1593" t="s">
        <v>327</v>
      </c>
      <c r="D3" s="1594"/>
      <c r="E3" s="1594"/>
      <c r="F3" s="1586" t="s">
        <v>25</v>
      </c>
      <c r="G3" s="1598"/>
      <c r="H3" s="1593" t="s">
        <v>402</v>
      </c>
      <c r="I3" s="1594"/>
      <c r="J3" s="1594"/>
      <c r="K3" s="1595" t="s">
        <v>120</v>
      </c>
      <c r="L3" s="1596"/>
      <c r="M3" s="1597"/>
    </row>
    <row r="4" spans="1:15" s="27" customFormat="1" ht="43.5" x14ac:dyDescent="0.2">
      <c r="A4" s="1588"/>
      <c r="B4" s="1589"/>
      <c r="C4" s="454" t="s">
        <v>10</v>
      </c>
      <c r="D4" s="455" t="s">
        <v>11</v>
      </c>
      <c r="E4" s="30" t="s">
        <v>70</v>
      </c>
      <c r="F4" s="1599"/>
      <c r="G4" s="1600"/>
      <c r="H4" s="28" t="s">
        <v>10</v>
      </c>
      <c r="I4" s="29" t="s">
        <v>11</v>
      </c>
      <c r="J4" s="30" t="s">
        <v>70</v>
      </c>
      <c r="K4" s="31" t="s">
        <v>12</v>
      </c>
      <c r="L4" s="32" t="s">
        <v>13</v>
      </c>
      <c r="M4" s="33" t="s">
        <v>121</v>
      </c>
    </row>
    <row r="5" spans="1:15" s="40" customFormat="1" ht="43.5" x14ac:dyDescent="0.2">
      <c r="A5" s="670" t="s">
        <v>19</v>
      </c>
      <c r="B5" s="35" t="s">
        <v>104</v>
      </c>
      <c r="C5" s="36">
        <v>0</v>
      </c>
      <c r="D5" s="37">
        <f>SUM(D7:D15)</f>
        <v>15393291.449999999</v>
      </c>
      <c r="E5" s="38">
        <f>SUM(C5:D5)</f>
        <v>15393291.449999999</v>
      </c>
      <c r="F5" s="34" t="s">
        <v>19</v>
      </c>
      <c r="G5" s="35" t="s">
        <v>104</v>
      </c>
      <c r="H5" s="36">
        <v>0</v>
      </c>
      <c r="I5" s="37">
        <f>SUM(I7:I15)</f>
        <v>14121290.040000001</v>
      </c>
      <c r="J5" s="38">
        <f>SUM(H5:I5)</f>
        <v>14121290.040000001</v>
      </c>
      <c r="K5" s="39" t="e">
        <f>+H5/C5*100-100</f>
        <v>#DIV/0!</v>
      </c>
      <c r="L5" s="37">
        <f>+I5/D5*100-100</f>
        <v>-8.263349096791103</v>
      </c>
      <c r="M5" s="38">
        <f>+J5/E5*100-100</f>
        <v>-8.263349096791103</v>
      </c>
      <c r="O5" s="13" t="s">
        <v>194</v>
      </c>
    </row>
    <row r="6" spans="1:15" s="5" customFormat="1" x14ac:dyDescent="0.2">
      <c r="A6" s="671" t="s">
        <v>75</v>
      </c>
      <c r="B6" s="42"/>
      <c r="C6" s="43"/>
      <c r="D6" s="44"/>
      <c r="E6" s="45"/>
      <c r="F6" s="41" t="s">
        <v>75</v>
      </c>
      <c r="G6" s="42"/>
      <c r="H6" s="43"/>
      <c r="I6" s="44"/>
      <c r="J6" s="45"/>
      <c r="K6" s="46"/>
      <c r="L6" s="44"/>
      <c r="M6" s="45"/>
      <c r="O6" s="5">
        <f>+'[2]ตารางที่ 12 แยก-57'!$I$5</f>
        <v>13300769.449999999</v>
      </c>
    </row>
    <row r="7" spans="1:15" s="13" customFormat="1" x14ac:dyDescent="0.2">
      <c r="A7" s="47" t="s">
        <v>237</v>
      </c>
      <c r="B7" s="48"/>
      <c r="C7" s="49"/>
      <c r="D7" s="50">
        <v>916332.98139673914</v>
      </c>
      <c r="E7" s="51">
        <f>SUM(C7:D7)</f>
        <v>916332.98139673914</v>
      </c>
      <c r="F7" s="47" t="s">
        <v>237</v>
      </c>
      <c r="G7" s="48"/>
      <c r="H7" s="49"/>
      <c r="I7" s="50">
        <f>+'ต.2=กระจาย ต.1สู่ ต.2-ปี61'!J7+'ต.2=กระจาย ต.1สู่ ต.2-ปี61'!O7</f>
        <v>974036.33172910661</v>
      </c>
      <c r="J7" s="51">
        <f>SUM(H7:I7)</f>
        <v>974036.33172910661</v>
      </c>
      <c r="K7" s="52" t="e">
        <f>+H7/C7*100-100</f>
        <v>#DIV/0!</v>
      </c>
      <c r="L7" s="50">
        <f t="shared" ref="L7:L13" si="0">+I7/D7*100-100</f>
        <v>6.2972032551324304</v>
      </c>
      <c r="M7" s="51">
        <f t="shared" ref="M7:M13" si="1">+J7/E7*100-100</f>
        <v>6.2972032551324304</v>
      </c>
      <c r="N7" s="13">
        <f>+J7-E7</f>
        <v>57703.350332367467</v>
      </c>
    </row>
    <row r="8" spans="1:15" s="13" customFormat="1" x14ac:dyDescent="0.2">
      <c r="A8" s="47" t="s">
        <v>238</v>
      </c>
      <c r="B8" s="48"/>
      <c r="C8" s="49"/>
      <c r="D8" s="50">
        <v>278550.33203260868</v>
      </c>
      <c r="E8" s="51">
        <f t="shared" ref="E8:E13" si="2">SUM(C8:D8)</f>
        <v>278550.33203260868</v>
      </c>
      <c r="F8" s="47" t="s">
        <v>238</v>
      </c>
      <c r="G8" s="48"/>
      <c r="H8" s="49"/>
      <c r="I8" s="50">
        <f>+'ต.2=กระจาย ต.1สู่ ต.2-ปี61'!J10+'ต.2=กระจาย ต.1สู่ ต.2-ปี61'!O10</f>
        <v>283987.5796541787</v>
      </c>
      <c r="J8" s="51">
        <f t="shared" ref="J8:J13" si="3">SUM(H8:I8)</f>
        <v>283987.5796541787</v>
      </c>
      <c r="K8" s="53" t="e">
        <f t="shared" ref="K8:K13" si="4">+H8/C8*100-100</f>
        <v>#DIV/0!</v>
      </c>
      <c r="L8" s="50">
        <f t="shared" si="0"/>
        <v>1.9519803052805145</v>
      </c>
      <c r="M8" s="51">
        <f t="shared" si="1"/>
        <v>1.9519803052805145</v>
      </c>
      <c r="N8" s="13">
        <f t="shared" ref="N8:N27" si="5">+J8-E8</f>
        <v>5437.2476215700153</v>
      </c>
    </row>
    <row r="9" spans="1:15" s="13" customFormat="1" x14ac:dyDescent="0.2">
      <c r="A9" s="47" t="s">
        <v>56</v>
      </c>
      <c r="B9" s="48"/>
      <c r="C9" s="49"/>
      <c r="D9" s="50">
        <v>1420371.1900000002</v>
      </c>
      <c r="E9" s="51">
        <f t="shared" si="2"/>
        <v>1420371.1900000002</v>
      </c>
      <c r="F9" s="47" t="s">
        <v>56</v>
      </c>
      <c r="G9" s="48"/>
      <c r="H9" s="49"/>
      <c r="I9" s="50">
        <f>+'ต.2=กระจาย ต.1สู่ ต.2-ปี61'!J9+'ต.2=กระจาย ต.1สู่ ต.2-ปี61'!O9</f>
        <v>1433925.0799999998</v>
      </c>
      <c r="J9" s="51">
        <f t="shared" si="3"/>
        <v>1433925.0799999998</v>
      </c>
      <c r="K9" s="53" t="e">
        <f t="shared" si="4"/>
        <v>#DIV/0!</v>
      </c>
      <c r="L9" s="50">
        <f t="shared" si="0"/>
        <v>0.95424985351890257</v>
      </c>
      <c r="M9" s="51">
        <f t="shared" si="1"/>
        <v>0.95424985351890257</v>
      </c>
      <c r="N9" s="13">
        <f t="shared" si="5"/>
        <v>13553.889999999665</v>
      </c>
    </row>
    <row r="10" spans="1:15" s="13" customFormat="1" x14ac:dyDescent="0.2">
      <c r="A10" s="47" t="s">
        <v>57</v>
      </c>
      <c r="B10" s="48"/>
      <c r="C10" s="49"/>
      <c r="D10" s="50">
        <v>5852416.3177554347</v>
      </c>
      <c r="E10" s="51">
        <f t="shared" si="2"/>
        <v>5852416.3177554347</v>
      </c>
      <c r="F10" s="47" t="s">
        <v>57</v>
      </c>
      <c r="G10" s="48"/>
      <c r="H10" s="49"/>
      <c r="I10" s="50">
        <f>+'ต.2=กระจาย ต.1สู่ ต.2-ปี61'!J11+'ต.2=กระจาย ต.1สู่ ต.2-ปี61'!O11</f>
        <v>4422055.2431700295</v>
      </c>
      <c r="J10" s="51">
        <f t="shared" si="3"/>
        <v>4422055.2431700295</v>
      </c>
      <c r="K10" s="53" t="e">
        <f t="shared" si="4"/>
        <v>#DIV/0!</v>
      </c>
      <c r="L10" s="50">
        <f>+I10/D10*100-100</f>
        <v>-24.440521605509929</v>
      </c>
      <c r="M10" s="51">
        <f>+J10/E10*100-100</f>
        <v>-24.440521605509929</v>
      </c>
      <c r="N10" s="13">
        <f t="shared" si="5"/>
        <v>-1430361.0745854052</v>
      </c>
    </row>
    <row r="11" spans="1:15" s="13" customFormat="1" x14ac:dyDescent="0.2">
      <c r="A11" s="47" t="s">
        <v>58</v>
      </c>
      <c r="B11" s="48"/>
      <c r="C11" s="49"/>
      <c r="D11" s="50">
        <v>668121.52249999996</v>
      </c>
      <c r="E11" s="51">
        <f t="shared" si="2"/>
        <v>668121.52249999996</v>
      </c>
      <c r="F11" s="47" t="s">
        <v>58</v>
      </c>
      <c r="G11" s="48"/>
      <c r="H11" s="49"/>
      <c r="I11" s="50">
        <f>+'ต.2=กระจาย ต.1สู่ ต.2-ปี61'!J12+'ต.2=กระจาย ต.1สู่ ต.2-ปี61'!O12</f>
        <v>663706.40999999992</v>
      </c>
      <c r="J11" s="51">
        <f t="shared" si="3"/>
        <v>663706.40999999992</v>
      </c>
      <c r="K11" s="53" t="e">
        <f t="shared" si="4"/>
        <v>#DIV/0!</v>
      </c>
      <c r="L11" s="50">
        <f t="shared" si="0"/>
        <v>-0.66082476784752942</v>
      </c>
      <c r="M11" s="51">
        <f>+J11/E11*100-100</f>
        <v>-0.66082476784752942</v>
      </c>
      <c r="N11" s="13">
        <f t="shared" si="5"/>
        <v>-4415.1125000000466</v>
      </c>
    </row>
    <row r="12" spans="1:15" s="13" customFormat="1" x14ac:dyDescent="0.2">
      <c r="A12" s="47" t="s">
        <v>189</v>
      </c>
      <c r="B12" s="48"/>
      <c r="C12" s="49"/>
      <c r="D12" s="50">
        <v>259691.44600000003</v>
      </c>
      <c r="E12" s="51">
        <f t="shared" si="2"/>
        <v>259691.44600000003</v>
      </c>
      <c r="F12" s="47" t="s">
        <v>189</v>
      </c>
      <c r="G12" s="48"/>
      <c r="H12" s="49"/>
      <c r="I12" s="50">
        <f>+'ต.2=กระจาย ต.1สู่ ต.2-ปี61'!J8+'ต.2=กระจาย ต.1สู่ ต.2-ปี61'!O8</f>
        <v>265725.08974358975</v>
      </c>
      <c r="J12" s="51">
        <f t="shared" si="3"/>
        <v>265725.08974358975</v>
      </c>
      <c r="K12" s="52" t="e">
        <f>+H12/C12*100-100</f>
        <v>#DIV/0!</v>
      </c>
      <c r="L12" s="50">
        <f t="shared" si="0"/>
        <v>2.3233894826053358</v>
      </c>
      <c r="M12" s="51">
        <f t="shared" si="1"/>
        <v>2.3233894826053358</v>
      </c>
      <c r="N12" s="13">
        <f t="shared" si="5"/>
        <v>6033.6437435897242</v>
      </c>
    </row>
    <row r="13" spans="1:15" s="13" customFormat="1" x14ac:dyDescent="0.2">
      <c r="A13" s="47" t="s">
        <v>236</v>
      </c>
      <c r="B13" s="48"/>
      <c r="C13" s="49"/>
      <c r="D13" s="50">
        <v>2550742.63</v>
      </c>
      <c r="E13" s="51">
        <f t="shared" si="2"/>
        <v>2550742.63</v>
      </c>
      <c r="F13" s="47" t="s">
        <v>236</v>
      </c>
      <c r="G13" s="48"/>
      <c r="H13" s="49"/>
      <c r="I13" s="50">
        <f>+'ต.2=กระจาย ต.1สู่ ต.2-ปี61'!J13+'ต.2=กระจาย ต.1สู่ ต.2-ปี61'!O13</f>
        <v>2445129.5900000003</v>
      </c>
      <c r="J13" s="51">
        <f t="shared" si="3"/>
        <v>2445129.5900000003</v>
      </c>
      <c r="K13" s="53" t="e">
        <f t="shared" si="4"/>
        <v>#DIV/0!</v>
      </c>
      <c r="L13" s="50">
        <f t="shared" si="0"/>
        <v>-4.1404820211124047</v>
      </c>
      <c r="M13" s="51">
        <f t="shared" si="1"/>
        <v>-4.1404820211124047</v>
      </c>
      <c r="N13" s="13">
        <f t="shared" si="5"/>
        <v>-105613.03999999957</v>
      </c>
    </row>
    <row r="14" spans="1:15" s="5" customFormat="1" x14ac:dyDescent="0.5">
      <c r="A14" s="54" t="s">
        <v>76</v>
      </c>
      <c r="B14" s="42"/>
      <c r="C14" s="43"/>
      <c r="D14" s="50"/>
      <c r="E14" s="51">
        <f>SUM(D14)</f>
        <v>0</v>
      </c>
      <c r="F14" s="54" t="s">
        <v>76</v>
      </c>
      <c r="G14" s="42"/>
      <c r="H14" s="43"/>
      <c r="I14" s="44"/>
      <c r="J14" s="51">
        <f>SUM(I14)</f>
        <v>0</v>
      </c>
      <c r="K14" s="53"/>
      <c r="L14" s="50"/>
      <c r="M14" s="51"/>
      <c r="N14" s="13">
        <f t="shared" si="5"/>
        <v>0</v>
      </c>
    </row>
    <row r="15" spans="1:15" s="13" customFormat="1" x14ac:dyDescent="0.5">
      <c r="A15" s="55" t="s">
        <v>18</v>
      </c>
      <c r="B15" s="48"/>
      <c r="C15" s="49"/>
      <c r="D15" s="50">
        <v>3447065.0303152176</v>
      </c>
      <c r="E15" s="51">
        <f>SUM(C15:D15)</f>
        <v>3447065.0303152176</v>
      </c>
      <c r="F15" s="55" t="s">
        <v>18</v>
      </c>
      <c r="G15" s="48"/>
      <c r="H15" s="49"/>
      <c r="I15" s="50">
        <f>+'ต.2=กระจาย ต.1สู่ ต.2-ปี61'!J27+'ต.2=กระจาย ต.1สู่ ต.2-ปี61'!O27</f>
        <v>3632724.7157030962</v>
      </c>
      <c r="J15" s="51">
        <f>SUM(H15:I15)</f>
        <v>3632724.7157030962</v>
      </c>
      <c r="K15" s="53" t="e">
        <f>+H15/C15*100-100</f>
        <v>#DIV/0!</v>
      </c>
      <c r="L15" s="50">
        <f>+I15/D15*100-100</f>
        <v>5.3860221305688896</v>
      </c>
      <c r="M15" s="51">
        <f>+J15/E15*100-100</f>
        <v>5.3860221305688896</v>
      </c>
      <c r="N15" s="13">
        <f t="shared" si="5"/>
        <v>185659.68538787868</v>
      </c>
    </row>
    <row r="16" spans="1:15" s="13" customFormat="1" x14ac:dyDescent="0.2">
      <c r="A16" s="258"/>
      <c r="B16" s="48"/>
      <c r="C16" s="49"/>
      <c r="D16" s="50"/>
      <c r="E16" s="51"/>
      <c r="F16" s="56"/>
      <c r="G16" s="48"/>
      <c r="H16" s="49"/>
      <c r="I16" s="50"/>
      <c r="J16" s="51"/>
      <c r="K16" s="53"/>
      <c r="L16" s="50"/>
      <c r="M16" s="51"/>
      <c r="N16" s="13">
        <f t="shared" si="5"/>
        <v>0</v>
      </c>
    </row>
    <row r="17" spans="1:14" s="40" customFormat="1" x14ac:dyDescent="0.2">
      <c r="A17" s="670" t="s">
        <v>20</v>
      </c>
      <c r="B17" s="35" t="s">
        <v>77</v>
      </c>
      <c r="C17" s="36">
        <f>SUM(C19:C27)</f>
        <v>42438557.74000001</v>
      </c>
      <c r="D17" s="37">
        <f>SUM(D19:D27)</f>
        <v>0</v>
      </c>
      <c r="E17" s="38">
        <f>SUM(E19:E27)</f>
        <v>42438557.74000001</v>
      </c>
      <c r="F17" s="57" t="s">
        <v>20</v>
      </c>
      <c r="G17" s="35" t="s">
        <v>77</v>
      </c>
      <c r="H17" s="36">
        <f>SUM(H19:H27)</f>
        <v>43873491.260000013</v>
      </c>
      <c r="I17" s="37">
        <f>SUM(I19:I27)</f>
        <v>0</v>
      </c>
      <c r="J17" s="58">
        <f>SUM(H17:I17)</f>
        <v>43873491.260000013</v>
      </c>
      <c r="K17" s="39">
        <f>+H17/C17*100-100</f>
        <v>3.3812023697674505</v>
      </c>
      <c r="L17" s="37" t="e">
        <f>+I17/D17*100-100</f>
        <v>#DIV/0!</v>
      </c>
      <c r="M17" s="38">
        <f>+J17/E17*100-100</f>
        <v>3.3812023697674505</v>
      </c>
      <c r="N17" s="13">
        <f t="shared" si="5"/>
        <v>1434933.5200000033</v>
      </c>
    </row>
    <row r="18" spans="1:14" s="5" customFormat="1" x14ac:dyDescent="0.2">
      <c r="A18" s="671" t="s">
        <v>75</v>
      </c>
      <c r="B18" s="42"/>
      <c r="C18" s="43"/>
      <c r="D18" s="44"/>
      <c r="E18" s="45"/>
      <c r="F18" s="41" t="s">
        <v>75</v>
      </c>
      <c r="G18" s="42"/>
      <c r="H18" s="43"/>
      <c r="I18" s="44"/>
      <c r="J18" s="45"/>
      <c r="K18" s="46"/>
      <c r="L18" s="44"/>
      <c r="M18" s="45"/>
      <c r="N18" s="13">
        <f t="shared" si="5"/>
        <v>0</v>
      </c>
    </row>
    <row r="19" spans="1:14" s="13" customFormat="1" x14ac:dyDescent="0.2">
      <c r="A19" s="47" t="s">
        <v>237</v>
      </c>
      <c r="B19" s="48"/>
      <c r="C19" s="50">
        <v>966434.53714285721</v>
      </c>
      <c r="D19" s="50"/>
      <c r="E19" s="51">
        <f t="shared" ref="E19:E25" si="6">SUM(C19:D19)</f>
        <v>966434.53714285721</v>
      </c>
      <c r="F19" s="47" t="s">
        <v>237</v>
      </c>
      <c r="G19" s="48"/>
      <c r="H19" s="49">
        <f>+'ต.2=กระจาย ต.1สู่ ต.2-ปี61'!I7+'ต.2=กระจาย ต.1สู่ ต.2-ปี61'!N7</f>
        <v>1485494.6971428571</v>
      </c>
      <c r="I19" s="50"/>
      <c r="J19" s="51">
        <f t="shared" ref="J19:J25" si="7">SUM(H19:I19)</f>
        <v>1485494.6971428571</v>
      </c>
      <c r="K19" s="53">
        <f t="shared" ref="K19:K25" si="8">+H19/C19*100-100</f>
        <v>53.708775923358075</v>
      </c>
      <c r="L19" s="50" t="e">
        <f t="shared" ref="L19:L25" si="9">+I19/D19*100-100</f>
        <v>#DIV/0!</v>
      </c>
      <c r="M19" s="51">
        <f t="shared" ref="M19:M25" si="10">+J19/E19*100-100</f>
        <v>53.708775923358075</v>
      </c>
      <c r="N19" s="13">
        <f t="shared" si="5"/>
        <v>519060.15999999992</v>
      </c>
    </row>
    <row r="20" spans="1:14" s="13" customFormat="1" x14ac:dyDescent="0.2">
      <c r="A20" s="47" t="s">
        <v>238</v>
      </c>
      <c r="B20" s="48"/>
      <c r="C20" s="50">
        <v>394635.25571428571</v>
      </c>
      <c r="D20" s="50"/>
      <c r="E20" s="51">
        <f t="shared" si="6"/>
        <v>394635.25571428571</v>
      </c>
      <c r="F20" s="47" t="s">
        <v>238</v>
      </c>
      <c r="G20" s="48"/>
      <c r="H20" s="49">
        <f>+'ต.2=กระจาย ต.1สู่ ต.2-ปี61'!I10+'ต.2=กระจาย ต.1สู่ ต.2-ปี61'!N10</f>
        <v>371225.27571428567</v>
      </c>
      <c r="I20" s="50"/>
      <c r="J20" s="51">
        <f t="shared" si="7"/>
        <v>371225.27571428567</v>
      </c>
      <c r="K20" s="53">
        <f t="shared" si="8"/>
        <v>-5.9320548939876687</v>
      </c>
      <c r="L20" s="50" t="e">
        <f t="shared" si="9"/>
        <v>#DIV/0!</v>
      </c>
      <c r="M20" s="51">
        <f t="shared" si="10"/>
        <v>-5.9320548939876687</v>
      </c>
      <c r="N20" s="13">
        <f t="shared" si="5"/>
        <v>-23409.98000000004</v>
      </c>
    </row>
    <row r="21" spans="1:14" s="13" customFormat="1" x14ac:dyDescent="0.2">
      <c r="A21" s="47" t="s">
        <v>56</v>
      </c>
      <c r="B21" s="48"/>
      <c r="C21" s="50">
        <v>1266717.5900000001</v>
      </c>
      <c r="D21" s="50"/>
      <c r="E21" s="51">
        <f t="shared" si="6"/>
        <v>1266717.5900000001</v>
      </c>
      <c r="F21" s="47" t="s">
        <v>56</v>
      </c>
      <c r="G21" s="48"/>
      <c r="H21" s="49">
        <f>+'ต.2=กระจาย ต.1สู่ ต.2-ปี61'!I9+'ต.2=กระจาย ต.1สู่ ต.2-ปี61'!N9</f>
        <v>1640159.5799999998</v>
      </c>
      <c r="I21" s="50"/>
      <c r="J21" s="51">
        <f t="shared" si="7"/>
        <v>1640159.5799999998</v>
      </c>
      <c r="K21" s="53">
        <f t="shared" si="8"/>
        <v>29.481077151537761</v>
      </c>
      <c r="L21" s="50" t="e">
        <f t="shared" si="9"/>
        <v>#DIV/0!</v>
      </c>
      <c r="M21" s="51">
        <f t="shared" si="10"/>
        <v>29.481077151537761</v>
      </c>
      <c r="N21" s="13">
        <f t="shared" si="5"/>
        <v>373441.98999999976</v>
      </c>
    </row>
    <row r="22" spans="1:14" s="13" customFormat="1" x14ac:dyDescent="0.2">
      <c r="A22" s="47" t="s">
        <v>57</v>
      </c>
      <c r="B22" s="48"/>
      <c r="C22" s="50">
        <v>20590221.907142859</v>
      </c>
      <c r="D22" s="50"/>
      <c r="E22" s="51">
        <f t="shared" si="6"/>
        <v>20590221.907142859</v>
      </c>
      <c r="F22" s="47" t="s">
        <v>57</v>
      </c>
      <c r="G22" s="48"/>
      <c r="H22" s="49">
        <f>+'ต.2=กระจาย ต.1สู่ ต.2-ปี61'!I11+'ต.2=กระจาย ต.1สู่ ต.2-ปี61'!N11</f>
        <v>20401755.947142866</v>
      </c>
      <c r="I22" s="50"/>
      <c r="J22" s="51">
        <f t="shared" si="7"/>
        <v>20401755.947142866</v>
      </c>
      <c r="K22" s="53">
        <f t="shared" si="8"/>
        <v>-0.91531777000719217</v>
      </c>
      <c r="L22" s="50" t="e">
        <f t="shared" si="9"/>
        <v>#DIV/0!</v>
      </c>
      <c r="M22" s="51">
        <f t="shared" si="10"/>
        <v>-0.91531777000719217</v>
      </c>
      <c r="N22" s="13">
        <f t="shared" si="5"/>
        <v>-188465.95999999344</v>
      </c>
    </row>
    <row r="23" spans="1:14" s="13" customFormat="1" x14ac:dyDescent="0.2">
      <c r="A23" s="47" t="s">
        <v>58</v>
      </c>
      <c r="B23" s="48"/>
      <c r="C23" s="50">
        <v>863626.20000000007</v>
      </c>
      <c r="D23" s="50"/>
      <c r="E23" s="51">
        <f t="shared" si="6"/>
        <v>863626.20000000007</v>
      </c>
      <c r="F23" s="47" t="s">
        <v>58</v>
      </c>
      <c r="G23" s="48"/>
      <c r="H23" s="49">
        <f>+'ต.2=กระจาย ต.1สู่ ต.2-ปี61'!I12+'ต.2=กระจาย ต.1สู่ ต.2-ปี61'!N12</f>
        <v>1525842.2300000004</v>
      </c>
      <c r="I23" s="50"/>
      <c r="J23" s="51">
        <f t="shared" si="7"/>
        <v>1525842.2300000004</v>
      </c>
      <c r="K23" s="53">
        <f t="shared" si="8"/>
        <v>76.678547964385558</v>
      </c>
      <c r="L23" s="50" t="e">
        <f t="shared" si="9"/>
        <v>#DIV/0!</v>
      </c>
      <c r="M23" s="51">
        <f t="shared" si="10"/>
        <v>76.678547964385558</v>
      </c>
      <c r="N23" s="13">
        <f t="shared" si="5"/>
        <v>662216.03000000038</v>
      </c>
    </row>
    <row r="24" spans="1:14" s="13" customFormat="1" x14ac:dyDescent="0.2">
      <c r="A24" s="47" t="s">
        <v>189</v>
      </c>
      <c r="B24" s="48"/>
      <c r="C24" s="50">
        <v>256661.92000000004</v>
      </c>
      <c r="D24" s="50"/>
      <c r="E24" s="51">
        <f t="shared" si="6"/>
        <v>256661.92000000004</v>
      </c>
      <c r="F24" s="47" t="s">
        <v>189</v>
      </c>
      <c r="G24" s="48"/>
      <c r="H24" s="49">
        <f>+'ต.2=กระจาย ต.1สู่ ต.2-ปี61'!I8+'ต.2=กระจาย ต.1สู่ ต.2-ปี61'!N8</f>
        <v>252444.79</v>
      </c>
      <c r="I24" s="50"/>
      <c r="J24" s="51">
        <f t="shared" si="7"/>
        <v>252444.79</v>
      </c>
      <c r="K24" s="53">
        <f t="shared" si="8"/>
        <v>-1.6430680484272955</v>
      </c>
      <c r="L24" s="50" t="e">
        <f t="shared" si="9"/>
        <v>#DIV/0!</v>
      </c>
      <c r="M24" s="51">
        <f t="shared" si="10"/>
        <v>-1.6430680484272955</v>
      </c>
      <c r="N24" s="13">
        <f t="shared" si="5"/>
        <v>-4217.1300000000338</v>
      </c>
    </row>
    <row r="25" spans="1:14" s="13" customFormat="1" x14ac:dyDescent="0.2">
      <c r="A25" s="47" t="s">
        <v>236</v>
      </c>
      <c r="B25" s="48"/>
      <c r="C25" s="50">
        <v>8800687.75</v>
      </c>
      <c r="D25" s="50"/>
      <c r="E25" s="51">
        <f t="shared" si="6"/>
        <v>8800687.75</v>
      </c>
      <c r="F25" s="47" t="s">
        <v>236</v>
      </c>
      <c r="G25" s="48"/>
      <c r="H25" s="49">
        <f>+'ต.2=กระจาย ต.1สู่ ต.2-ปี61'!I13+'ต.2=กระจาย ต.1สู่ ต.2-ปี61'!N13</f>
        <v>11206166.890000001</v>
      </c>
      <c r="I25" s="50"/>
      <c r="J25" s="51">
        <f t="shared" si="7"/>
        <v>11206166.890000001</v>
      </c>
      <c r="K25" s="53">
        <f t="shared" si="8"/>
        <v>27.332854071546862</v>
      </c>
      <c r="L25" s="50" t="e">
        <f t="shared" si="9"/>
        <v>#DIV/0!</v>
      </c>
      <c r="M25" s="51">
        <f t="shared" si="10"/>
        <v>27.332854071546862</v>
      </c>
      <c r="N25" s="13">
        <f t="shared" si="5"/>
        <v>2405479.1400000006</v>
      </c>
    </row>
    <row r="26" spans="1:14" s="5" customFormat="1" x14ac:dyDescent="0.5">
      <c r="A26" s="54" t="s">
        <v>76</v>
      </c>
      <c r="B26" s="42"/>
      <c r="C26" s="43"/>
      <c r="D26" s="44"/>
      <c r="E26" s="51">
        <f>SUM(C26:D26)</f>
        <v>0</v>
      </c>
      <c r="F26" s="54" t="s">
        <v>76</v>
      </c>
      <c r="G26" s="42"/>
      <c r="H26" s="49"/>
      <c r="I26" s="44"/>
      <c r="J26" s="51">
        <f>SUM(H26:I26)</f>
        <v>0</v>
      </c>
      <c r="K26" s="53"/>
      <c r="L26" s="50"/>
      <c r="M26" s="51"/>
      <c r="N26" s="13">
        <f t="shared" si="5"/>
        <v>0</v>
      </c>
    </row>
    <row r="27" spans="1:14" s="13" customFormat="1" x14ac:dyDescent="0.5">
      <c r="A27" s="55" t="s">
        <v>18</v>
      </c>
      <c r="B27" s="48"/>
      <c r="C27" s="50">
        <v>9299572.5800000019</v>
      </c>
      <c r="D27" s="50"/>
      <c r="E27" s="51">
        <f>SUM(C27:D27)</f>
        <v>9299572.5800000019</v>
      </c>
      <c r="F27" s="55" t="s">
        <v>18</v>
      </c>
      <c r="G27" s="48"/>
      <c r="H27" s="49">
        <f>+'ต.2=กระจาย ต.1สู่ ต.2-ปี61'!I27+'ต.2=กระจาย ต.1สู่ ต.2-ปี61'!N27</f>
        <v>6990401.8500000006</v>
      </c>
      <c r="I27" s="50"/>
      <c r="J27" s="51">
        <f>SUM(H27:I27)</f>
        <v>6990401.8500000006</v>
      </c>
      <c r="K27" s="53">
        <f>+H27/C27*100-100</f>
        <v>-24.830934004065824</v>
      </c>
      <c r="L27" s="50" t="e">
        <f>+I27/D27*100-100</f>
        <v>#DIV/0!</v>
      </c>
      <c r="M27" s="51">
        <f>+J27/E27*100-100</f>
        <v>-24.830934004065824</v>
      </c>
      <c r="N27" s="13">
        <f t="shared" si="5"/>
        <v>-2309170.7300000014</v>
      </c>
    </row>
    <row r="28" spans="1:14" s="13" customFormat="1" x14ac:dyDescent="0.2">
      <c r="A28" s="49"/>
      <c r="B28" s="366"/>
      <c r="C28" s="53"/>
      <c r="D28" s="50"/>
      <c r="E28" s="51"/>
      <c r="F28" s="59"/>
      <c r="G28" s="59"/>
      <c r="H28" s="53"/>
      <c r="I28" s="50"/>
      <c r="J28" s="51"/>
      <c r="K28" s="53"/>
      <c r="L28" s="50"/>
      <c r="M28" s="51"/>
      <c r="N28" s="13">
        <f>+E28-J28</f>
        <v>0</v>
      </c>
    </row>
    <row r="29" spans="1:14" s="5" customFormat="1" ht="22.5" thickBot="1" x14ac:dyDescent="0.25">
      <c r="A29" s="60" t="s">
        <v>125</v>
      </c>
      <c r="B29" s="61"/>
      <c r="C29" s="62">
        <f>SUM(C19:C27)</f>
        <v>42438557.74000001</v>
      </c>
      <c r="D29" s="63">
        <f>+D5+D17</f>
        <v>15393291.449999999</v>
      </c>
      <c r="E29" s="63">
        <f>+E5+E17</f>
        <v>57831849.190000013</v>
      </c>
      <c r="F29" s="60" t="s">
        <v>125</v>
      </c>
      <c r="G29" s="61"/>
      <c r="H29" s="62">
        <f>SUM(H19:H27)</f>
        <v>43873491.260000013</v>
      </c>
      <c r="I29" s="63">
        <f>+I5+I17</f>
        <v>14121290.040000001</v>
      </c>
      <c r="J29" s="63">
        <f>+J5+J17</f>
        <v>57994781.300000012</v>
      </c>
      <c r="K29" s="62">
        <f>+H29/C29*100-100</f>
        <v>3.3812023697674505</v>
      </c>
      <c r="L29" s="63">
        <f>+I29/D29*100-100</f>
        <v>-8.263349096791103</v>
      </c>
      <c r="M29" s="64">
        <f>+J29/E29*100-100</f>
        <v>0.28173422133659187</v>
      </c>
      <c r="N29" s="13">
        <f>+E29-J29</f>
        <v>-162932.1099999994</v>
      </c>
    </row>
    <row r="30" spans="1:14" ht="22.5" thickTop="1" x14ac:dyDescent="0.5">
      <c r="C30" s="14">
        <v>42438557.74000001</v>
      </c>
      <c r="D30" s="14">
        <v>15393291.450000001</v>
      </c>
      <c r="E30" s="14">
        <v>57831849.190000013</v>
      </c>
      <c r="H30" s="14">
        <f>+'ต.2=กระจาย ต.1สู่ ต.2-ปี61'!I28+'ต.2=กระจาย ต.1สู่ ต.2-ปี61'!N28</f>
        <v>43873491.260000013</v>
      </c>
      <c r="I30" s="14">
        <f>+'ต.2=กระจาย ต.1สู่ ต.2-ปี61'!J28+'ต.2=กระจาย ต.1สู่ ต.2-ปี61'!O28</f>
        <v>14121290.040000003</v>
      </c>
    </row>
    <row r="31" spans="1:14" s="1" customFormat="1" hidden="1" x14ac:dyDescent="0.5">
      <c r="B31" s="1" t="s">
        <v>21</v>
      </c>
    </row>
    <row r="32" spans="1:14" s="1" customFormat="1" hidden="1" x14ac:dyDescent="0.5">
      <c r="B32" s="1" t="s">
        <v>23</v>
      </c>
    </row>
    <row r="33" spans="1:13" s="1" customFormat="1" hidden="1" x14ac:dyDescent="0.5">
      <c r="A33" s="1" t="s">
        <v>26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 spans="1:13" s="1" customFormat="1" hidden="1" x14ac:dyDescent="0.5">
      <c r="A34" s="1" t="s">
        <v>27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1:13" s="1" customFormat="1" hidden="1" x14ac:dyDescent="0.5"/>
    <row r="36" spans="1:13" hidden="1" x14ac:dyDescent="0.5"/>
    <row r="37" spans="1:13" hidden="1" x14ac:dyDescent="0.5"/>
    <row r="38" spans="1:13" x14ac:dyDescent="0.5">
      <c r="E38" s="14">
        <f>+E29-E30</f>
        <v>0</v>
      </c>
    </row>
  </sheetData>
  <mergeCells count="6">
    <mergeCell ref="A1:M1"/>
    <mergeCell ref="A3:B4"/>
    <mergeCell ref="C3:E3"/>
    <mergeCell ref="H3:J3"/>
    <mergeCell ref="K3:M3"/>
    <mergeCell ref="F3:G4"/>
  </mergeCells>
  <phoneticPr fontId="4" type="noConversion"/>
  <pageMargins left="0.39370078740157483" right="0" top="0.47244094488188981" bottom="0.39370078740157483" header="0" footer="0"/>
  <pageSetup paperSize="9"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A1:Q11"/>
  <sheetViews>
    <sheetView view="pageBreakPreview" zoomScale="90" zoomScaleNormal="100" zoomScaleSheetLayoutView="90" workbookViewId="0">
      <selection activeCell="D10" sqref="D10"/>
    </sheetView>
  </sheetViews>
  <sheetFormatPr defaultRowHeight="21.75" x14ac:dyDescent="0.5"/>
  <cols>
    <col min="1" max="1" width="75" style="25" customWidth="1"/>
    <col min="2" max="2" width="91" style="687" customWidth="1"/>
    <col min="3" max="3" width="13.140625" style="25" bestFit="1" customWidth="1"/>
    <col min="4" max="16384" width="9.140625" style="25"/>
  </cols>
  <sheetData>
    <row r="1" spans="1:17" s="17" customFormat="1" ht="23.25" x14ac:dyDescent="0.55000000000000004">
      <c r="A1" s="16" t="s">
        <v>65</v>
      </c>
      <c r="B1" s="683"/>
      <c r="G1" s="18"/>
      <c r="Q1" s="18"/>
    </row>
    <row r="2" spans="1:17" s="20" customFormat="1" ht="23.25" x14ac:dyDescent="0.55000000000000004">
      <c r="A2" s="19" t="s">
        <v>22</v>
      </c>
      <c r="B2" s="684"/>
    </row>
    <row r="3" spans="1:17" s="20" customFormat="1" ht="24" thickBot="1" x14ac:dyDescent="0.6">
      <c r="A3" s="19"/>
      <c r="B3" s="684"/>
    </row>
    <row r="4" spans="1:17" s="21" customFormat="1" ht="23.25" x14ac:dyDescent="0.2">
      <c r="A4" s="1601" t="s">
        <v>403</v>
      </c>
      <c r="B4" s="1602"/>
    </row>
    <row r="5" spans="1:17" s="21" customFormat="1" ht="23.25" x14ac:dyDescent="0.2">
      <c r="A5" s="719" t="s">
        <v>104</v>
      </c>
      <c r="B5" s="686" t="s">
        <v>77</v>
      </c>
      <c r="E5" s="21" t="s">
        <v>451</v>
      </c>
    </row>
    <row r="6" spans="1:17" s="22" customFormat="1" x14ac:dyDescent="0.2">
      <c r="A6" s="720" t="s">
        <v>416</v>
      </c>
      <c r="B6" s="717" t="s">
        <v>416</v>
      </c>
    </row>
    <row r="7" spans="1:17" s="22" customFormat="1" ht="65.25" x14ac:dyDescent="0.2">
      <c r="A7" s="721" t="s">
        <v>577</v>
      </c>
      <c r="B7" s="685" t="s">
        <v>575</v>
      </c>
    </row>
    <row r="8" spans="1:17" s="24" customFormat="1" ht="67.5" customHeight="1" x14ac:dyDescent="0.2">
      <c r="A8" s="773"/>
      <c r="B8" s="722" t="s">
        <v>572</v>
      </c>
    </row>
    <row r="9" spans="1:17" s="22" customFormat="1" ht="135" customHeight="1" x14ac:dyDescent="0.2">
      <c r="A9" s="23"/>
      <c r="B9" s="772" t="s">
        <v>574</v>
      </c>
    </row>
    <row r="10" spans="1:17" s="22" customFormat="1" ht="87.75" customHeight="1" x14ac:dyDescent="0.2">
      <c r="A10" s="770"/>
      <c r="B10" s="718" t="s">
        <v>573</v>
      </c>
    </row>
    <row r="11" spans="1:17" s="22" customFormat="1" ht="87.75" thickBot="1" x14ac:dyDescent="0.25">
      <c r="A11" s="771"/>
      <c r="B11" s="774" t="s">
        <v>576</v>
      </c>
    </row>
  </sheetData>
  <mergeCells count="1">
    <mergeCell ref="A4:B4"/>
  </mergeCells>
  <phoneticPr fontId="4" type="noConversion"/>
  <printOptions horizontalCentered="1"/>
  <pageMargins left="0.47244094488188981" right="0" top="0.59055118110236227" bottom="0.39370078740157483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A53"/>
  <sheetViews>
    <sheetView view="pageBreakPreview" zoomScale="90" zoomScaleNormal="93" zoomScaleSheetLayoutView="90" workbookViewId="0">
      <pane xSplit="1" ySplit="5" topLeftCell="B6" activePane="bottomRight" state="frozen"/>
      <selection activeCell="E30" sqref="E30"/>
      <selection pane="topRight" activeCell="E30" sqref="E30"/>
      <selection pane="bottomLeft" activeCell="E30" sqref="E30"/>
      <selection pane="bottomRight" activeCell="G7" sqref="G7"/>
    </sheetView>
  </sheetViews>
  <sheetFormatPr defaultColWidth="9" defaultRowHeight="21.75" x14ac:dyDescent="0.5"/>
  <cols>
    <col min="1" max="1" width="14.140625" style="1" customWidth="1"/>
    <col min="2" max="2" width="14.85546875" style="1" bestFit="1" customWidth="1"/>
    <col min="3" max="3" width="15" style="1" bestFit="1" customWidth="1"/>
    <col min="4" max="4" width="14.140625" style="1" bestFit="1" customWidth="1"/>
    <col min="5" max="5" width="12.7109375" style="1" customWidth="1"/>
    <col min="6" max="6" width="13.140625" style="1" bestFit="1" customWidth="1"/>
    <col min="7" max="7" width="14.42578125" style="1" bestFit="1" customWidth="1"/>
    <col min="8" max="8" width="8.28515625" style="1" customWidth="1"/>
    <col min="9" max="9" width="14.42578125" style="1" bestFit="1" customWidth="1"/>
    <col min="10" max="10" width="13.28515625" style="1" bestFit="1" customWidth="1"/>
    <col min="11" max="11" width="14.42578125" style="1" bestFit="1" customWidth="1"/>
    <col min="12" max="12" width="15" style="15" bestFit="1" customWidth="1"/>
    <col min="13" max="13" width="13.28515625" style="269" bestFit="1" customWidth="1"/>
    <col min="14" max="14" width="13.5703125" style="1" bestFit="1" customWidth="1"/>
    <col min="15" max="15" width="13.28515625" style="1" bestFit="1" customWidth="1"/>
    <col min="16" max="16" width="13.5703125" style="1" customWidth="1"/>
    <col min="17" max="17" width="13.85546875" style="15" bestFit="1" customWidth="1"/>
    <col min="18" max="18" width="15.42578125" style="15" bestFit="1" customWidth="1"/>
    <col min="19" max="19" width="15.42578125" style="1" bestFit="1" customWidth="1"/>
    <col min="20" max="20" width="13" style="1" bestFit="1" customWidth="1"/>
    <col min="21" max="22" width="13.5703125" style="1" bestFit="1" customWidth="1"/>
    <col min="23" max="23" width="9" style="1"/>
    <col min="24" max="24" width="12.85546875" style="1" bestFit="1" customWidth="1"/>
    <col min="25" max="26" width="9" style="1"/>
    <col min="27" max="27" width="12" style="1" bestFit="1" customWidth="1"/>
    <col min="28" max="16384" width="9" style="1"/>
  </cols>
  <sheetData>
    <row r="1" spans="1:27" ht="24" x14ac:dyDescent="0.55000000000000004">
      <c r="A1" s="563" t="s">
        <v>441</v>
      </c>
    </row>
    <row r="2" spans="1:27" ht="22.5" thickBot="1" x14ac:dyDescent="0.55000000000000004">
      <c r="R2" s="3" t="s">
        <v>117</v>
      </c>
    </row>
    <row r="3" spans="1:27" s="15" customFormat="1" ht="48" x14ac:dyDescent="0.55000000000000004">
      <c r="A3" s="564" t="s">
        <v>385</v>
      </c>
      <c r="B3" s="1496" t="s">
        <v>73</v>
      </c>
      <c r="C3" s="1497"/>
      <c r="D3" s="1497"/>
      <c r="E3" s="1497"/>
      <c r="F3" s="1497"/>
      <c r="G3" s="1497"/>
      <c r="H3" s="1497"/>
      <c r="I3" s="1497"/>
      <c r="J3" s="1497"/>
      <c r="K3" s="1497"/>
      <c r="L3" s="1498"/>
      <c r="M3" s="562"/>
      <c r="N3" s="1497" t="s">
        <v>74</v>
      </c>
      <c r="O3" s="1497"/>
      <c r="P3" s="1497"/>
      <c r="Q3" s="1499"/>
      <c r="R3" s="367"/>
    </row>
    <row r="4" spans="1:27" s="15" customFormat="1" x14ac:dyDescent="0.5">
      <c r="A4" s="1500" t="s">
        <v>72</v>
      </c>
      <c r="B4" s="368">
        <v>2</v>
      </c>
      <c r="C4" s="368" t="s">
        <v>134</v>
      </c>
      <c r="D4" s="368" t="s">
        <v>135</v>
      </c>
      <c r="E4" s="368" t="s">
        <v>110</v>
      </c>
      <c r="F4" s="368" t="s">
        <v>111</v>
      </c>
      <c r="G4" s="368" t="s">
        <v>112</v>
      </c>
      <c r="H4" s="368" t="s">
        <v>113</v>
      </c>
      <c r="I4" s="368" t="s">
        <v>132</v>
      </c>
      <c r="J4" s="368" t="s">
        <v>270</v>
      </c>
      <c r="K4" s="368" t="s">
        <v>114</v>
      </c>
      <c r="L4" s="369" t="s">
        <v>271</v>
      </c>
      <c r="M4" s="370" t="s">
        <v>133</v>
      </c>
      <c r="N4" s="368" t="s">
        <v>272</v>
      </c>
      <c r="O4" s="368" t="s">
        <v>273</v>
      </c>
      <c r="P4" s="368" t="s">
        <v>283</v>
      </c>
      <c r="Q4" s="368" t="s">
        <v>284</v>
      </c>
      <c r="R4" s="371" t="s">
        <v>285</v>
      </c>
    </row>
    <row r="5" spans="1:27" s="15" customFormat="1" ht="87" x14ac:dyDescent="0.5">
      <c r="A5" s="1501"/>
      <c r="B5" s="791" t="s">
        <v>328</v>
      </c>
      <c r="C5" s="791" t="s">
        <v>103</v>
      </c>
      <c r="D5" s="791" t="s">
        <v>102</v>
      </c>
      <c r="E5" s="791" t="s">
        <v>226</v>
      </c>
      <c r="F5" s="791" t="s">
        <v>105</v>
      </c>
      <c r="G5" s="791" t="s">
        <v>115</v>
      </c>
      <c r="H5" s="791" t="s">
        <v>131</v>
      </c>
      <c r="I5" s="792" t="s">
        <v>77</v>
      </c>
      <c r="J5" s="791" t="s">
        <v>104</v>
      </c>
      <c r="K5" s="791" t="s">
        <v>225</v>
      </c>
      <c r="L5" s="372" t="s">
        <v>107</v>
      </c>
      <c r="M5" s="793" t="s">
        <v>103</v>
      </c>
      <c r="N5" s="792" t="s">
        <v>77</v>
      </c>
      <c r="O5" s="791" t="s">
        <v>104</v>
      </c>
      <c r="P5" s="791" t="s">
        <v>225</v>
      </c>
      <c r="Q5" s="373" t="s">
        <v>108</v>
      </c>
      <c r="R5" s="374" t="s">
        <v>109</v>
      </c>
      <c r="S5" s="15" t="s">
        <v>228</v>
      </c>
      <c r="T5" s="15" t="s">
        <v>229</v>
      </c>
      <c r="U5" s="15" t="s">
        <v>70</v>
      </c>
    </row>
    <row r="6" spans="1:27" x14ac:dyDescent="0.5">
      <c r="A6" s="375" t="s">
        <v>75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7"/>
      <c r="M6" s="338"/>
      <c r="N6" s="378"/>
      <c r="O6" s="376"/>
      <c r="P6" s="376"/>
      <c r="Q6" s="379"/>
      <c r="R6" s="377"/>
    </row>
    <row r="7" spans="1:27" x14ac:dyDescent="0.5">
      <c r="A7" s="380" t="s">
        <v>239</v>
      </c>
      <c r="B7" s="265">
        <v>38484430.079999998</v>
      </c>
      <c r="C7" s="265">
        <v>6606109.8700000001</v>
      </c>
      <c r="D7" s="265">
        <v>819170.11999999988</v>
      </c>
      <c r="E7" s="265">
        <v>0</v>
      </c>
      <c r="F7" s="265">
        <v>257130</v>
      </c>
      <c r="G7" s="265">
        <v>2659571.9</v>
      </c>
      <c r="H7" s="265">
        <v>0</v>
      </c>
      <c r="I7" s="265">
        <v>955726.84000000008</v>
      </c>
      <c r="J7" s="265">
        <v>208469.35</v>
      </c>
      <c r="K7" s="265">
        <v>372721.5</v>
      </c>
      <c r="L7" s="381">
        <f>SUM(B7:K7)</f>
        <v>50363329.659999996</v>
      </c>
      <c r="M7" s="382">
        <v>405071.14</v>
      </c>
      <c r="N7" s="383">
        <v>529767.85714285716</v>
      </c>
      <c r="O7" s="265">
        <v>765566.98172910663</v>
      </c>
      <c r="P7" s="384">
        <v>2701984.5608974355</v>
      </c>
      <c r="Q7" s="384">
        <f t="shared" ref="Q7:Q12" si="0">SUM(M7:P7)</f>
        <v>4402390.5397693999</v>
      </c>
      <c r="R7" s="381">
        <f t="shared" ref="R7:R12" si="1">+L7+Q7</f>
        <v>54765720.199769393</v>
      </c>
      <c r="S7" s="364"/>
      <c r="V7" s="2">
        <f>+J7+O7</f>
        <v>974036.33172910661</v>
      </c>
      <c r="W7" s="2"/>
      <c r="X7" s="2"/>
    </row>
    <row r="8" spans="1:27" x14ac:dyDescent="0.5">
      <c r="A8" s="380" t="s">
        <v>137</v>
      </c>
      <c r="B8" s="265">
        <v>0</v>
      </c>
      <c r="C8" s="265">
        <v>813379.72</v>
      </c>
      <c r="D8" s="265">
        <v>434390.1</v>
      </c>
      <c r="E8" s="265">
        <v>0</v>
      </c>
      <c r="F8" s="265">
        <v>0</v>
      </c>
      <c r="G8" s="265">
        <v>283556.59999999998</v>
      </c>
      <c r="H8" s="265">
        <v>0</v>
      </c>
      <c r="I8" s="265">
        <v>252444.79</v>
      </c>
      <c r="J8" s="265">
        <v>12996.76</v>
      </c>
      <c r="K8" s="265">
        <v>51325</v>
      </c>
      <c r="L8" s="381">
        <f t="shared" ref="L8:L24" si="2">SUM(B8:K8)</f>
        <v>1848092.97</v>
      </c>
      <c r="M8" s="382">
        <v>0</v>
      </c>
      <c r="N8" s="383">
        <v>0</v>
      </c>
      <c r="O8" s="265">
        <v>252728.32974358977</v>
      </c>
      <c r="P8" s="384">
        <v>468343.99055555556</v>
      </c>
      <c r="Q8" s="384">
        <f t="shared" si="0"/>
        <v>721072.3202991453</v>
      </c>
      <c r="R8" s="381">
        <f>+L8+Q8</f>
        <v>2569165.2902991455</v>
      </c>
      <c r="S8" s="364"/>
      <c r="V8" s="2">
        <f t="shared" ref="V8:V29" si="3">+J8+O8</f>
        <v>265725.08974358975</v>
      </c>
      <c r="W8" s="2"/>
      <c r="X8" s="2"/>
    </row>
    <row r="9" spans="1:27" x14ac:dyDescent="0.5">
      <c r="A9" s="380" t="s">
        <v>91</v>
      </c>
      <c r="B9" s="265">
        <v>51416743.370000005</v>
      </c>
      <c r="C9" s="265">
        <v>6996708.5099999998</v>
      </c>
      <c r="D9" s="265">
        <v>3293188.28</v>
      </c>
      <c r="E9" s="265">
        <v>0</v>
      </c>
      <c r="F9" s="265">
        <v>2071968.99</v>
      </c>
      <c r="G9" s="265">
        <v>2075225.5699999998</v>
      </c>
      <c r="H9" s="265">
        <v>0</v>
      </c>
      <c r="I9" s="265">
        <v>1640159.5799999998</v>
      </c>
      <c r="J9" s="265">
        <v>1433925.0799999998</v>
      </c>
      <c r="K9" s="265">
        <v>371179.5</v>
      </c>
      <c r="L9" s="381">
        <f t="shared" si="2"/>
        <v>69299098.88000001</v>
      </c>
      <c r="M9" s="382">
        <v>0</v>
      </c>
      <c r="N9" s="383">
        <v>0</v>
      </c>
      <c r="O9" s="265">
        <v>0</v>
      </c>
      <c r="P9" s="384">
        <v>3314434.3947008546</v>
      </c>
      <c r="Q9" s="384">
        <f t="shared" si="0"/>
        <v>3314434.3947008546</v>
      </c>
      <c r="R9" s="381">
        <f t="shared" si="1"/>
        <v>72613533.274700865</v>
      </c>
      <c r="S9" s="364"/>
      <c r="V9" s="2">
        <f t="shared" si="3"/>
        <v>1433925.0799999998</v>
      </c>
      <c r="W9" s="2"/>
      <c r="X9" s="2"/>
    </row>
    <row r="10" spans="1:27" x14ac:dyDescent="0.5">
      <c r="A10" s="380" t="s">
        <v>240</v>
      </c>
      <c r="B10" s="265">
        <v>8009676.8799999999</v>
      </c>
      <c r="C10" s="265">
        <v>1865195.4299999997</v>
      </c>
      <c r="D10" s="265">
        <v>62210</v>
      </c>
      <c r="E10" s="265">
        <v>0</v>
      </c>
      <c r="F10" s="265">
        <v>2691803.1100000003</v>
      </c>
      <c r="G10" s="265">
        <v>1062038.8</v>
      </c>
      <c r="H10" s="265">
        <v>0</v>
      </c>
      <c r="I10" s="265">
        <v>194635.99</v>
      </c>
      <c r="J10" s="265">
        <v>22902.9</v>
      </c>
      <c r="K10" s="265">
        <v>76231.25</v>
      </c>
      <c r="L10" s="381">
        <f t="shared" si="2"/>
        <v>13984694.359999999</v>
      </c>
      <c r="M10" s="382">
        <v>135023.72</v>
      </c>
      <c r="N10" s="383">
        <v>176589.28571428571</v>
      </c>
      <c r="O10" s="265">
        <v>261084.67965417868</v>
      </c>
      <c r="P10" s="384">
        <v>972714.44192307675</v>
      </c>
      <c r="Q10" s="384">
        <f t="shared" si="0"/>
        <v>1545412.1272915411</v>
      </c>
      <c r="R10" s="381">
        <f t="shared" si="1"/>
        <v>15530106.487291541</v>
      </c>
      <c r="S10" s="364"/>
      <c r="V10" s="2">
        <f t="shared" si="3"/>
        <v>283987.5796541787</v>
      </c>
      <c r="W10" s="2"/>
      <c r="X10" s="2"/>
    </row>
    <row r="11" spans="1:27" x14ac:dyDescent="0.5">
      <c r="A11" s="380" t="s">
        <v>92</v>
      </c>
      <c r="B11" s="265">
        <v>50348320.219999999</v>
      </c>
      <c r="C11" s="265">
        <v>25441645.649999999</v>
      </c>
      <c r="D11" s="265">
        <v>3913621.5</v>
      </c>
      <c r="E11" s="265">
        <v>0</v>
      </c>
      <c r="F11" s="265">
        <v>441397.20999999996</v>
      </c>
      <c r="G11" s="265">
        <v>7569396.3899999997</v>
      </c>
      <c r="H11" s="265">
        <v>0</v>
      </c>
      <c r="I11" s="265">
        <v>19871988.090000007</v>
      </c>
      <c r="J11" s="265">
        <v>3488316.7200000007</v>
      </c>
      <c r="K11" s="265">
        <v>367373.25</v>
      </c>
      <c r="L11" s="381">
        <f t="shared" si="2"/>
        <v>111442059.03</v>
      </c>
      <c r="M11" s="382">
        <v>405071.14</v>
      </c>
      <c r="N11" s="383">
        <v>529767.85714285716</v>
      </c>
      <c r="O11" s="265">
        <v>933738.52317002893</v>
      </c>
      <c r="P11" s="384">
        <v>3422513.7771367519</v>
      </c>
      <c r="Q11" s="384">
        <f t="shared" si="0"/>
        <v>5291091.2974496381</v>
      </c>
      <c r="R11" s="381">
        <f t="shared" si="1"/>
        <v>116733150.32744963</v>
      </c>
      <c r="S11" s="364"/>
      <c r="V11" s="2">
        <f t="shared" si="3"/>
        <v>4422055.2431700295</v>
      </c>
      <c r="W11" s="2"/>
      <c r="X11" s="2"/>
    </row>
    <row r="12" spans="1:27" x14ac:dyDescent="0.5">
      <c r="A12" s="380" t="s">
        <v>93</v>
      </c>
      <c r="B12" s="265">
        <v>32093678.200000003</v>
      </c>
      <c r="C12" s="265">
        <v>7456998.2400000002</v>
      </c>
      <c r="D12" s="265">
        <v>4916596.71</v>
      </c>
      <c r="E12" s="265">
        <v>247871.5</v>
      </c>
      <c r="F12" s="265">
        <v>894426.79</v>
      </c>
      <c r="G12" s="265">
        <v>1905076.42</v>
      </c>
      <c r="H12" s="265">
        <v>0</v>
      </c>
      <c r="I12" s="265">
        <v>1525842.2300000004</v>
      </c>
      <c r="J12" s="265">
        <v>125267.45000000001</v>
      </c>
      <c r="K12" s="265">
        <v>227659.5</v>
      </c>
      <c r="L12" s="381">
        <f t="shared" si="2"/>
        <v>49393417.040000007</v>
      </c>
      <c r="M12" s="382">
        <v>0</v>
      </c>
      <c r="N12" s="383">
        <v>0</v>
      </c>
      <c r="O12" s="265">
        <v>538438.96</v>
      </c>
      <c r="P12" s="384">
        <v>2089534.727094017</v>
      </c>
      <c r="Q12" s="384">
        <f t="shared" si="0"/>
        <v>2627973.6870940169</v>
      </c>
      <c r="R12" s="381">
        <f t="shared" si="1"/>
        <v>52021390.727094024</v>
      </c>
      <c r="S12" s="364"/>
      <c r="V12" s="2">
        <f t="shared" si="3"/>
        <v>663706.40999999992</v>
      </c>
      <c r="W12" s="2"/>
      <c r="X12" s="2"/>
      <c r="AA12" s="14"/>
    </row>
    <row r="13" spans="1:27" s="15" customFormat="1" x14ac:dyDescent="0.5">
      <c r="A13" s="380" t="s">
        <v>196</v>
      </c>
      <c r="B13" s="384">
        <f t="shared" ref="B13:K13" si="4">SUM(B14:B25)</f>
        <v>126760376.05999999</v>
      </c>
      <c r="C13" s="384">
        <f t="shared" si="4"/>
        <v>56781349.150000006</v>
      </c>
      <c r="D13" s="384">
        <f t="shared" si="4"/>
        <v>33792685.329999998</v>
      </c>
      <c r="E13" s="384">
        <f t="shared" si="4"/>
        <v>1858431.95</v>
      </c>
      <c r="F13" s="384">
        <f t="shared" si="4"/>
        <v>2507489</v>
      </c>
      <c r="G13" s="384">
        <f t="shared" si="4"/>
        <v>4315936.37</v>
      </c>
      <c r="H13" s="384">
        <f t="shared" si="4"/>
        <v>0</v>
      </c>
      <c r="I13" s="384">
        <f t="shared" si="4"/>
        <v>11206166.890000001</v>
      </c>
      <c r="J13" s="384">
        <f t="shared" si="4"/>
        <v>2445129.5900000003</v>
      </c>
      <c r="K13" s="384">
        <f t="shared" si="4"/>
        <v>1068454.83</v>
      </c>
      <c r="L13" s="381">
        <f>SUM(B13:K13)</f>
        <v>240736019.16999996</v>
      </c>
      <c r="M13" s="385">
        <f t="shared" ref="M13:R13" si="5">SUM(M14:M25)</f>
        <v>0</v>
      </c>
      <c r="N13" s="386">
        <f t="shared" si="5"/>
        <v>0</v>
      </c>
      <c r="O13" s="386">
        <f t="shared" si="5"/>
        <v>0</v>
      </c>
      <c r="P13" s="386">
        <f t="shared" si="5"/>
        <v>9330853.3502991423</v>
      </c>
      <c r="Q13" s="386">
        <f t="shared" si="5"/>
        <v>9330853.3502991423</v>
      </c>
      <c r="R13" s="714">
        <f t="shared" si="5"/>
        <v>250066872.52029917</v>
      </c>
      <c r="S13" s="387"/>
      <c r="V13" s="2">
        <f t="shared" si="3"/>
        <v>2445129.5900000003</v>
      </c>
      <c r="W13" s="387"/>
      <c r="X13" s="2"/>
    </row>
    <row r="14" spans="1:27" s="396" customFormat="1" x14ac:dyDescent="0.5">
      <c r="A14" s="388" t="s">
        <v>241</v>
      </c>
      <c r="B14" s="389">
        <v>13338120.960000001</v>
      </c>
      <c r="C14" s="389">
        <v>5760649.6299999999</v>
      </c>
      <c r="D14" s="389">
        <v>3075017.51</v>
      </c>
      <c r="E14" s="389">
        <v>162687.79999999999</v>
      </c>
      <c r="F14" s="389">
        <v>457400</v>
      </c>
      <c r="G14" s="389">
        <v>114692.81</v>
      </c>
      <c r="H14" s="390">
        <v>0</v>
      </c>
      <c r="I14" s="390">
        <v>1206105.4500000002</v>
      </c>
      <c r="J14" s="390">
        <v>207700.05</v>
      </c>
      <c r="K14" s="390">
        <v>139332</v>
      </c>
      <c r="L14" s="391">
        <f t="shared" si="2"/>
        <v>24461706.210000001</v>
      </c>
      <c r="M14" s="392">
        <v>0</v>
      </c>
      <c r="N14" s="393">
        <v>0</v>
      </c>
      <c r="O14" s="389">
        <v>0</v>
      </c>
      <c r="P14" s="394">
        <v>792582.13786324777</v>
      </c>
      <c r="Q14" s="395">
        <f t="shared" ref="Q14:Q25" si="6">SUM(M14:P14)</f>
        <v>792582.13786324777</v>
      </c>
      <c r="R14" s="391">
        <f t="shared" ref="R14:R25" si="7">+L14+Q14</f>
        <v>25254288.347863249</v>
      </c>
      <c r="V14" s="2">
        <f t="shared" si="3"/>
        <v>207700.05</v>
      </c>
      <c r="X14" s="2"/>
    </row>
    <row r="15" spans="1:27" s="396" customFormat="1" x14ac:dyDescent="0.5">
      <c r="A15" s="397" t="s">
        <v>242</v>
      </c>
      <c r="B15" s="398">
        <v>13521173.26</v>
      </c>
      <c r="C15" s="398">
        <v>5798715.0500000007</v>
      </c>
      <c r="D15" s="398">
        <v>2719431.94</v>
      </c>
      <c r="E15" s="398">
        <v>95643.75</v>
      </c>
      <c r="F15" s="398">
        <v>140650</v>
      </c>
      <c r="G15" s="398">
        <v>120000</v>
      </c>
      <c r="H15" s="399">
        <v>0</v>
      </c>
      <c r="I15" s="399">
        <v>1416537.17</v>
      </c>
      <c r="J15" s="399">
        <v>217551.59999999998</v>
      </c>
      <c r="K15" s="399">
        <v>190894.5</v>
      </c>
      <c r="L15" s="400">
        <f t="shared" si="2"/>
        <v>24220597.270000003</v>
      </c>
      <c r="M15" s="401">
        <v>0</v>
      </c>
      <c r="N15" s="402">
        <v>0</v>
      </c>
      <c r="O15" s="398">
        <v>0</v>
      </c>
      <c r="P15" s="403">
        <v>648476.29461538466</v>
      </c>
      <c r="Q15" s="404">
        <f t="shared" si="6"/>
        <v>648476.29461538466</v>
      </c>
      <c r="R15" s="400">
        <f t="shared" si="7"/>
        <v>24869073.564615387</v>
      </c>
      <c r="S15" s="405"/>
      <c r="V15" s="2">
        <f t="shared" si="3"/>
        <v>217551.59999999998</v>
      </c>
      <c r="X15" s="2"/>
    </row>
    <row r="16" spans="1:27" s="396" customFormat="1" x14ac:dyDescent="0.5">
      <c r="A16" s="397" t="s">
        <v>243</v>
      </c>
      <c r="B16" s="398">
        <v>11984811.67</v>
      </c>
      <c r="C16" s="398">
        <v>5770348.7300000004</v>
      </c>
      <c r="D16" s="398">
        <v>3438900.29</v>
      </c>
      <c r="E16" s="398">
        <v>281997.40000000002</v>
      </c>
      <c r="F16" s="398">
        <v>0</v>
      </c>
      <c r="G16" s="398">
        <v>547073</v>
      </c>
      <c r="H16" s="399">
        <v>0</v>
      </c>
      <c r="I16" s="399">
        <v>997380.35000000009</v>
      </c>
      <c r="J16" s="399">
        <v>184255.46</v>
      </c>
      <c r="K16" s="399">
        <v>82896.5</v>
      </c>
      <c r="L16" s="400">
        <f t="shared" si="2"/>
        <v>23287663.399999999</v>
      </c>
      <c r="M16" s="401">
        <v>0</v>
      </c>
      <c r="N16" s="402">
        <v>0</v>
      </c>
      <c r="O16" s="398">
        <v>0</v>
      </c>
      <c r="P16" s="403">
        <v>756555.67705128202</v>
      </c>
      <c r="Q16" s="404">
        <f t="shared" si="6"/>
        <v>756555.67705128202</v>
      </c>
      <c r="R16" s="400">
        <f t="shared" si="7"/>
        <v>24044219.077051282</v>
      </c>
      <c r="S16" s="405"/>
      <c r="V16" s="2">
        <f t="shared" si="3"/>
        <v>184255.46</v>
      </c>
      <c r="X16" s="2"/>
    </row>
    <row r="17" spans="1:24" s="396" customFormat="1" x14ac:dyDescent="0.5">
      <c r="A17" s="397" t="s">
        <v>244</v>
      </c>
      <c r="B17" s="398">
        <v>14326221</v>
      </c>
      <c r="C17" s="398">
        <v>4139383.79</v>
      </c>
      <c r="D17" s="398">
        <v>2346372.37</v>
      </c>
      <c r="E17" s="398">
        <v>233010</v>
      </c>
      <c r="F17" s="398">
        <v>0</v>
      </c>
      <c r="G17" s="398">
        <v>768189.96</v>
      </c>
      <c r="H17" s="399">
        <v>0</v>
      </c>
      <c r="I17" s="399">
        <v>726944.67</v>
      </c>
      <c r="J17" s="399">
        <v>180139.73</v>
      </c>
      <c r="K17" s="399">
        <v>92714</v>
      </c>
      <c r="L17" s="400">
        <f t="shared" si="2"/>
        <v>22812975.520000003</v>
      </c>
      <c r="M17" s="401">
        <v>0</v>
      </c>
      <c r="N17" s="402">
        <v>0</v>
      </c>
      <c r="O17" s="398">
        <v>0</v>
      </c>
      <c r="P17" s="403">
        <v>792582.13786324777</v>
      </c>
      <c r="Q17" s="404">
        <f t="shared" si="6"/>
        <v>792582.13786324777</v>
      </c>
      <c r="R17" s="400">
        <f t="shared" si="7"/>
        <v>23605557.657863252</v>
      </c>
      <c r="S17" s="405"/>
      <c r="T17" s="406" t="s">
        <v>259</v>
      </c>
      <c r="V17" s="2">
        <f t="shared" si="3"/>
        <v>180139.73</v>
      </c>
      <c r="X17" s="2"/>
    </row>
    <row r="18" spans="1:24" s="396" customFormat="1" x14ac:dyDescent="0.5">
      <c r="A18" s="397" t="s">
        <v>245</v>
      </c>
      <c r="B18" s="398">
        <v>14618031.609999999</v>
      </c>
      <c r="C18" s="398">
        <v>3294704.3000000003</v>
      </c>
      <c r="D18" s="398">
        <v>2785502.7300000004</v>
      </c>
      <c r="E18" s="398">
        <v>75871</v>
      </c>
      <c r="F18" s="398">
        <v>712541</v>
      </c>
      <c r="G18" s="398">
        <v>133820.29999999999</v>
      </c>
      <c r="H18" s="399">
        <v>0</v>
      </c>
      <c r="I18" s="399">
        <v>868827.99999999988</v>
      </c>
      <c r="J18" s="399">
        <v>254902.08000000002</v>
      </c>
      <c r="K18" s="399">
        <v>89444.33</v>
      </c>
      <c r="L18" s="400">
        <f t="shared" si="2"/>
        <v>22833645.349999998</v>
      </c>
      <c r="M18" s="401">
        <v>0</v>
      </c>
      <c r="N18" s="402">
        <v>0</v>
      </c>
      <c r="O18" s="398">
        <v>0</v>
      </c>
      <c r="P18" s="403">
        <v>900661.52029914525</v>
      </c>
      <c r="Q18" s="404">
        <f t="shared" si="6"/>
        <v>900661.52029914525</v>
      </c>
      <c r="R18" s="400">
        <f t="shared" si="7"/>
        <v>23734306.870299142</v>
      </c>
      <c r="S18" s="405"/>
      <c r="T18" s="406" t="s">
        <v>260</v>
      </c>
      <c r="V18" s="2">
        <f t="shared" si="3"/>
        <v>254902.08000000002</v>
      </c>
      <c r="X18" s="2"/>
    </row>
    <row r="19" spans="1:24" s="396" customFormat="1" x14ac:dyDescent="0.5">
      <c r="A19" s="397" t="s">
        <v>246</v>
      </c>
      <c r="B19" s="398">
        <v>13475310.32</v>
      </c>
      <c r="C19" s="398">
        <v>5575203.9299999997</v>
      </c>
      <c r="D19" s="398">
        <v>3265591.24</v>
      </c>
      <c r="E19" s="398">
        <v>68690.25</v>
      </c>
      <c r="F19" s="398">
        <v>47891</v>
      </c>
      <c r="G19" s="398">
        <v>655933</v>
      </c>
      <c r="H19" s="399">
        <v>0</v>
      </c>
      <c r="I19" s="399">
        <v>1019938.29</v>
      </c>
      <c r="J19" s="399">
        <v>242391.13000000003</v>
      </c>
      <c r="K19" s="399">
        <v>58709</v>
      </c>
      <c r="L19" s="400">
        <f t="shared" si="2"/>
        <v>24409658.16</v>
      </c>
      <c r="M19" s="401">
        <v>0</v>
      </c>
      <c r="N19" s="402">
        <v>0</v>
      </c>
      <c r="O19" s="398">
        <v>0</v>
      </c>
      <c r="P19" s="403">
        <v>972714.44192307675</v>
      </c>
      <c r="Q19" s="404">
        <f t="shared" si="6"/>
        <v>972714.44192307675</v>
      </c>
      <c r="R19" s="400">
        <f t="shared" si="7"/>
        <v>25382372.601923078</v>
      </c>
      <c r="S19" s="405"/>
      <c r="T19" s="407"/>
      <c r="V19" s="2">
        <f t="shared" si="3"/>
        <v>242391.13000000003</v>
      </c>
      <c r="X19" s="2"/>
    </row>
    <row r="20" spans="1:24" s="396" customFormat="1" x14ac:dyDescent="0.5">
      <c r="A20" s="397" t="s">
        <v>247</v>
      </c>
      <c r="B20" s="398">
        <v>18193618.27</v>
      </c>
      <c r="C20" s="398">
        <v>4171116.07</v>
      </c>
      <c r="D20" s="398">
        <v>2955732.8600000003</v>
      </c>
      <c r="E20" s="398">
        <v>92357.75</v>
      </c>
      <c r="F20" s="398">
        <v>3120</v>
      </c>
      <c r="G20" s="398">
        <v>414220</v>
      </c>
      <c r="H20" s="399">
        <v>0</v>
      </c>
      <c r="I20" s="399">
        <v>1045317.3599999996</v>
      </c>
      <c r="J20" s="399">
        <v>244169.66</v>
      </c>
      <c r="K20" s="399">
        <v>130678</v>
      </c>
      <c r="L20" s="400">
        <f t="shared" si="2"/>
        <v>27250329.969999999</v>
      </c>
      <c r="M20" s="401">
        <v>0</v>
      </c>
      <c r="N20" s="402">
        <v>0</v>
      </c>
      <c r="O20" s="398">
        <v>0</v>
      </c>
      <c r="P20" s="403">
        <v>756555.67705128202</v>
      </c>
      <c r="Q20" s="404">
        <f t="shared" si="6"/>
        <v>756555.67705128202</v>
      </c>
      <c r="R20" s="400">
        <f t="shared" si="7"/>
        <v>28006885.647051282</v>
      </c>
      <c r="S20" s="405"/>
      <c r="V20" s="2">
        <f t="shared" si="3"/>
        <v>244169.66</v>
      </c>
      <c r="X20" s="2"/>
    </row>
    <row r="21" spans="1:24" s="396" customFormat="1" x14ac:dyDescent="0.5">
      <c r="A21" s="397" t="s">
        <v>248</v>
      </c>
      <c r="B21" s="398">
        <v>13117699.52</v>
      </c>
      <c r="C21" s="398">
        <v>4849644.4800000004</v>
      </c>
      <c r="D21" s="398">
        <v>3524086.63</v>
      </c>
      <c r="E21" s="398">
        <v>491700</v>
      </c>
      <c r="F21" s="398">
        <v>0</v>
      </c>
      <c r="G21" s="398">
        <v>844749</v>
      </c>
      <c r="H21" s="399">
        <v>0</v>
      </c>
      <c r="I21" s="399">
        <v>972800.95</v>
      </c>
      <c r="J21" s="399">
        <v>282825.01</v>
      </c>
      <c r="K21" s="399">
        <v>99678.75</v>
      </c>
      <c r="L21" s="400">
        <f t="shared" si="2"/>
        <v>24183184.34</v>
      </c>
      <c r="M21" s="401">
        <v>0</v>
      </c>
      <c r="N21" s="402">
        <v>0</v>
      </c>
      <c r="O21" s="398">
        <v>0</v>
      </c>
      <c r="P21" s="403">
        <v>936687.98111111112</v>
      </c>
      <c r="Q21" s="404">
        <f t="shared" si="6"/>
        <v>936687.98111111112</v>
      </c>
      <c r="R21" s="400">
        <f t="shared" si="7"/>
        <v>25119872.321111113</v>
      </c>
      <c r="S21" s="405"/>
      <c r="V21" s="2">
        <f t="shared" si="3"/>
        <v>282825.01</v>
      </c>
      <c r="X21" s="2"/>
    </row>
    <row r="22" spans="1:24" s="396" customFormat="1" x14ac:dyDescent="0.5">
      <c r="A22" s="397" t="s">
        <v>249</v>
      </c>
      <c r="B22" s="398">
        <v>14185389.450000001</v>
      </c>
      <c r="C22" s="398">
        <v>4580296.07</v>
      </c>
      <c r="D22" s="398">
        <v>2300868.5699999998</v>
      </c>
      <c r="E22" s="398">
        <v>33920</v>
      </c>
      <c r="F22" s="398">
        <v>646962</v>
      </c>
      <c r="G22" s="398">
        <v>255743.3</v>
      </c>
      <c r="H22" s="399">
        <v>0</v>
      </c>
      <c r="I22" s="399">
        <v>797418.6</v>
      </c>
      <c r="J22" s="399">
        <v>223723.17000000004</v>
      </c>
      <c r="K22" s="399">
        <v>69906.75</v>
      </c>
      <c r="L22" s="400">
        <f>SUM(B22:K22)</f>
        <v>23094227.910000008</v>
      </c>
      <c r="M22" s="401">
        <v>0</v>
      </c>
      <c r="N22" s="402">
        <v>0</v>
      </c>
      <c r="O22" s="398">
        <v>0</v>
      </c>
      <c r="P22" s="403">
        <v>900661.52029914525</v>
      </c>
      <c r="Q22" s="404">
        <f t="shared" si="6"/>
        <v>900661.52029914525</v>
      </c>
      <c r="R22" s="400">
        <f t="shared" si="7"/>
        <v>23994889.430299152</v>
      </c>
      <c r="S22" s="405"/>
      <c r="V22" s="2">
        <f t="shared" si="3"/>
        <v>223723.17000000004</v>
      </c>
      <c r="X22" s="2"/>
    </row>
    <row r="23" spans="1:24" s="396" customFormat="1" x14ac:dyDescent="0.5">
      <c r="A23" s="397" t="s">
        <v>250</v>
      </c>
      <c r="B23" s="398">
        <v>0</v>
      </c>
      <c r="C23" s="398">
        <v>4009567.94</v>
      </c>
      <c r="D23" s="398">
        <v>2510787.4699999997</v>
      </c>
      <c r="E23" s="398">
        <v>0</v>
      </c>
      <c r="F23" s="398">
        <v>498925</v>
      </c>
      <c r="G23" s="398">
        <v>0</v>
      </c>
      <c r="H23" s="399">
        <v>0</v>
      </c>
      <c r="I23" s="399">
        <v>1030885.56</v>
      </c>
      <c r="J23" s="399">
        <v>169535.19</v>
      </c>
      <c r="K23" s="399">
        <v>29005</v>
      </c>
      <c r="L23" s="400">
        <f t="shared" si="2"/>
        <v>8248706.1600000011</v>
      </c>
      <c r="M23" s="401">
        <v>0</v>
      </c>
      <c r="N23" s="402">
        <v>0</v>
      </c>
      <c r="O23" s="398">
        <v>0</v>
      </c>
      <c r="P23" s="403">
        <v>792582.13786324777</v>
      </c>
      <c r="Q23" s="404">
        <f t="shared" si="6"/>
        <v>792582.13786324777</v>
      </c>
      <c r="R23" s="400">
        <f t="shared" si="7"/>
        <v>9041288.2978632487</v>
      </c>
      <c r="S23" s="405"/>
      <c r="V23" s="2">
        <f t="shared" si="3"/>
        <v>169535.19</v>
      </c>
      <c r="X23" s="2"/>
    </row>
    <row r="24" spans="1:24" s="396" customFormat="1" x14ac:dyDescent="0.5">
      <c r="A24" s="397" t="s">
        <v>251</v>
      </c>
      <c r="B24" s="398">
        <v>0</v>
      </c>
      <c r="C24" s="398">
        <v>4408006.7699999996</v>
      </c>
      <c r="D24" s="398">
        <v>2856127.56</v>
      </c>
      <c r="E24" s="398">
        <v>271500</v>
      </c>
      <c r="F24" s="398">
        <v>0</v>
      </c>
      <c r="G24" s="398">
        <v>294335</v>
      </c>
      <c r="H24" s="399">
        <v>0</v>
      </c>
      <c r="I24" s="399">
        <v>617494.38</v>
      </c>
      <c r="J24" s="399">
        <v>146587.64000000001</v>
      </c>
      <c r="K24" s="399">
        <v>58270</v>
      </c>
      <c r="L24" s="400">
        <f t="shared" si="2"/>
        <v>8652321.3500000015</v>
      </c>
      <c r="M24" s="401">
        <v>0</v>
      </c>
      <c r="N24" s="402">
        <v>0</v>
      </c>
      <c r="O24" s="398">
        <v>0</v>
      </c>
      <c r="P24" s="403">
        <v>540396.91217948718</v>
      </c>
      <c r="Q24" s="404">
        <f t="shared" si="6"/>
        <v>540396.91217948718</v>
      </c>
      <c r="R24" s="400">
        <f t="shared" si="7"/>
        <v>9192718.2621794883</v>
      </c>
      <c r="S24" s="405"/>
      <c r="V24" s="2">
        <f t="shared" si="3"/>
        <v>146587.64000000001</v>
      </c>
      <c r="X24" s="2"/>
    </row>
    <row r="25" spans="1:24" s="396" customFormat="1" x14ac:dyDescent="0.5">
      <c r="A25" s="408" t="s">
        <v>252</v>
      </c>
      <c r="B25" s="409">
        <v>0</v>
      </c>
      <c r="C25" s="409">
        <v>4423712.3899999997</v>
      </c>
      <c r="D25" s="409">
        <v>2014266.1600000001</v>
      </c>
      <c r="E25" s="409">
        <v>51054</v>
      </c>
      <c r="F25" s="409">
        <v>0</v>
      </c>
      <c r="G25" s="409">
        <v>167180</v>
      </c>
      <c r="H25" s="410">
        <v>0</v>
      </c>
      <c r="I25" s="410">
        <v>506516.11</v>
      </c>
      <c r="J25" s="410">
        <v>91348.87</v>
      </c>
      <c r="K25" s="410">
        <v>26926</v>
      </c>
      <c r="L25" s="411">
        <f>SUM(B25:K25)</f>
        <v>7281003.5300000003</v>
      </c>
      <c r="M25" s="412">
        <v>0</v>
      </c>
      <c r="N25" s="413">
        <v>0</v>
      </c>
      <c r="O25" s="409">
        <v>0</v>
      </c>
      <c r="P25" s="414">
        <v>540396.91217948718</v>
      </c>
      <c r="Q25" s="415">
        <f t="shared" si="6"/>
        <v>540396.91217948718</v>
      </c>
      <c r="R25" s="411">
        <f t="shared" si="7"/>
        <v>7821400.4421794871</v>
      </c>
      <c r="S25" s="405"/>
      <c r="T25" s="405"/>
      <c r="V25" s="2">
        <f t="shared" si="3"/>
        <v>91348.87</v>
      </c>
      <c r="X25" s="2"/>
    </row>
    <row r="26" spans="1:24" x14ac:dyDescent="0.5">
      <c r="A26" s="380" t="s">
        <v>76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381"/>
      <c r="M26" s="416"/>
      <c r="N26" s="417"/>
      <c r="O26" s="266"/>
      <c r="P26" s="266"/>
      <c r="Q26" s="384"/>
      <c r="R26" s="381"/>
      <c r="V26" s="2">
        <f t="shared" si="3"/>
        <v>0</v>
      </c>
      <c r="X26" s="2"/>
    </row>
    <row r="27" spans="1:24" x14ac:dyDescent="0.5">
      <c r="A27" s="380" t="s">
        <v>89</v>
      </c>
      <c r="B27" s="384">
        <v>37658074.379999965</v>
      </c>
      <c r="C27" s="384">
        <v>29293000.98</v>
      </c>
      <c r="D27" s="384">
        <v>1637281.2</v>
      </c>
      <c r="E27" s="384">
        <v>0</v>
      </c>
      <c r="F27" s="384">
        <v>536094.80000000005</v>
      </c>
      <c r="G27" s="384">
        <v>2843053.54</v>
      </c>
      <c r="H27" s="384">
        <v>0</v>
      </c>
      <c r="I27" s="384">
        <v>5754276.8500000006</v>
      </c>
      <c r="J27" s="384">
        <v>627266.71000000008</v>
      </c>
      <c r="K27" s="384">
        <v>11428813.950000001</v>
      </c>
      <c r="L27" s="381">
        <f>SUM(B27:K27)</f>
        <v>89777862.409999967</v>
      </c>
      <c r="M27" s="418">
        <v>945166</v>
      </c>
      <c r="N27" s="419">
        <v>1236125</v>
      </c>
      <c r="O27" s="419">
        <v>3005458.0057030963</v>
      </c>
      <c r="P27" s="419">
        <v>2990196.247393162</v>
      </c>
      <c r="Q27" s="384">
        <f>SUM(M27:P27)</f>
        <v>8176945.2530962583</v>
      </c>
      <c r="R27" s="381">
        <f>+L27+Q27</f>
        <v>97954807.663096219</v>
      </c>
      <c r="S27" s="364">
        <f>+B27+C27+D27+F27+G27+H27+K27+O27</f>
        <v>86401776.855703071</v>
      </c>
      <c r="T27" s="364">
        <f>+E27+P27</f>
        <v>2990196.247393162</v>
      </c>
      <c r="U27" s="364">
        <f>+N27+S27+T27</f>
        <v>90628098.103096232</v>
      </c>
      <c r="V27" s="2">
        <f t="shared" si="3"/>
        <v>3632724.7157030962</v>
      </c>
      <c r="W27" s="2"/>
      <c r="X27" s="2"/>
    </row>
    <row r="28" spans="1:24" ht="22.5" thickBot="1" x14ac:dyDescent="0.55000000000000004">
      <c r="A28" s="794" t="s">
        <v>70</v>
      </c>
      <c r="B28" s="795">
        <f>+B7+B9+B10+B11+B12+B8+B13+B27</f>
        <v>344771299.18999994</v>
      </c>
      <c r="C28" s="795">
        <f>+C7+C9+C10+C11+C12+C8+C13+C27</f>
        <v>135254387.54999998</v>
      </c>
      <c r="D28" s="795">
        <f t="shared" ref="D28:J28" si="8">+D7+D9+D10+D11+D12+D8+D13+D27</f>
        <v>48869143.240000002</v>
      </c>
      <c r="E28" s="795">
        <f>+E7+E9+E10+E11+E12+E8+E13+E27</f>
        <v>2106303.4500000002</v>
      </c>
      <c r="F28" s="795">
        <f>+F7+F9+F10+F11+F12+F8+F13+F27</f>
        <v>9400309.9000000022</v>
      </c>
      <c r="G28" s="795">
        <f t="shared" si="8"/>
        <v>22713855.59</v>
      </c>
      <c r="H28" s="795">
        <f t="shared" si="8"/>
        <v>0</v>
      </c>
      <c r="I28" s="795">
        <f t="shared" si="8"/>
        <v>41401241.260000013</v>
      </c>
      <c r="J28" s="795">
        <f t="shared" si="8"/>
        <v>8364274.5600000015</v>
      </c>
      <c r="K28" s="795">
        <f>+K7+K9+K10+K11+K12+K8+K13+K27</f>
        <v>13963758.780000001</v>
      </c>
      <c r="L28" s="796">
        <f>SUM(B28:K28)</f>
        <v>626844573.51999986</v>
      </c>
      <c r="M28" s="797">
        <f t="shared" ref="M28:R28" si="9">+M7+M9+M10+M11+M12+M8+M13+M27</f>
        <v>1890332</v>
      </c>
      <c r="N28" s="795">
        <f t="shared" si="9"/>
        <v>2472250</v>
      </c>
      <c r="O28" s="795">
        <f t="shared" si="9"/>
        <v>5757015.4800000004</v>
      </c>
      <c r="P28" s="795">
        <f t="shared" si="9"/>
        <v>25290575.489999995</v>
      </c>
      <c r="Q28" s="795">
        <f t="shared" si="9"/>
        <v>35410172.969999999</v>
      </c>
      <c r="R28" s="796">
        <f t="shared" si="9"/>
        <v>662254746.48999989</v>
      </c>
      <c r="S28" s="14"/>
      <c r="T28" s="2"/>
      <c r="U28" s="364"/>
      <c r="V28" s="2">
        <f t="shared" si="3"/>
        <v>14121290.040000003</v>
      </c>
      <c r="X28" s="2"/>
    </row>
    <row r="29" spans="1:24" x14ac:dyDescent="0.5">
      <c r="B29" s="2">
        <f>+'[1]KSB1 คำนวณต้นทุน ทำตาราง2'!$AP$21</f>
        <v>344771299.19</v>
      </c>
      <c r="C29" s="2">
        <f>+'[1]KSB1 คำนวณต้นทุน ทำตาราง2'!$AP$118</f>
        <v>135254387.55000001</v>
      </c>
      <c r="D29" s="364">
        <f>+'[1]KSB1 คำนวณต้นทุน ทำตาราง2'!$AP$137</f>
        <v>48869143.239999995</v>
      </c>
      <c r="E29" s="364">
        <f>+'[1]KSB1 คำนวณต้นทุน ทำตาราง2'!$AP$162</f>
        <v>2106303.4500000002</v>
      </c>
      <c r="F29" s="364">
        <f>+'[1]KSB1 คำนวณต้นทุน ทำตาราง2'!$AP$177</f>
        <v>9400309.9000000004</v>
      </c>
      <c r="G29" s="420">
        <f>+'[1]KSB1 คำนวณต้นทุน ทำตาราง2'!$AP$190</f>
        <v>22713855.590000004</v>
      </c>
      <c r="H29" s="420">
        <f>+'[1]KSB1 คำนวณต้นทุน ทำตาราง2'!$AP$194</f>
        <v>0</v>
      </c>
      <c r="I29" s="420">
        <f>+'[1]KSB1 คำนวณต้นทุน ทำตาราง2'!$AP$312</f>
        <v>41401241.25999999</v>
      </c>
      <c r="J29" s="420">
        <f>+'[1]KSB1 คำนวณต้นทุน ทำตาราง2'!$AP$348</f>
        <v>8364274.5600000015</v>
      </c>
      <c r="K29" s="420">
        <f>+'[1]KSB1 คำนวณต้นทุน ทำตาราง2'!$AP$365</f>
        <v>13963758.780000012</v>
      </c>
      <c r="L29" s="421">
        <f>SUM(B29:K29)</f>
        <v>626844573.51999998</v>
      </c>
      <c r="M29" s="422">
        <f>+'[1]KSB1 คำนวณต้นทุน ทำตาราง2'!$AP$369</f>
        <v>1890332.0000000002</v>
      </c>
      <c r="N29" s="420">
        <f>+'[1]KSB1 คำนวณต้นทุน ทำตาราง2'!$AP$373</f>
        <v>2472250.0000000005</v>
      </c>
      <c r="O29" s="420">
        <f>+'[1]KSB1 คำนวณต้นทุน ทำตาราง2'!$AP$381</f>
        <v>5757015.4799999995</v>
      </c>
      <c r="P29" s="420">
        <f>+'[1]KSB1 คำนวณต้นทุน ทำตาราง2'!$AP$385</f>
        <v>25290575.490000006</v>
      </c>
      <c r="Q29" s="421">
        <f>SUM(M29:P29)</f>
        <v>35410172.970000006</v>
      </c>
      <c r="R29" s="420">
        <f>+L29+Q29</f>
        <v>662254746.49000001</v>
      </c>
      <c r="S29" s="420">
        <f>+'ตารางที่ 1ข้อมูลจากPro-ปี61 ไม่'!F12</f>
        <v>662254746.48999989</v>
      </c>
      <c r="T29" s="79"/>
      <c r="V29" s="2">
        <f t="shared" si="3"/>
        <v>14121290.040000001</v>
      </c>
    </row>
    <row r="30" spans="1:24" x14ac:dyDescent="0.5">
      <c r="B30" s="2">
        <f>+B28-B29</f>
        <v>0</v>
      </c>
      <c r="C30" s="2">
        <f>+C28-C29</f>
        <v>0</v>
      </c>
      <c r="D30" s="2">
        <f t="shared" ref="D30:R30" si="10">+D28-D29</f>
        <v>0</v>
      </c>
      <c r="E30" s="2">
        <f t="shared" si="10"/>
        <v>0</v>
      </c>
      <c r="F30" s="2">
        <f t="shared" si="10"/>
        <v>0</v>
      </c>
      <c r="G30" s="2">
        <f t="shared" si="10"/>
        <v>0</v>
      </c>
      <c r="H30" s="2">
        <f t="shared" si="10"/>
        <v>0</v>
      </c>
      <c r="I30" s="2">
        <f t="shared" si="10"/>
        <v>0</v>
      </c>
      <c r="J30" s="2">
        <f t="shared" si="10"/>
        <v>0</v>
      </c>
      <c r="K30" s="2">
        <f t="shared" si="10"/>
        <v>0</v>
      </c>
      <c r="L30" s="2">
        <f t="shared" si="10"/>
        <v>0</v>
      </c>
      <c r="M30" s="423">
        <f>+M28-M29</f>
        <v>0</v>
      </c>
      <c r="N30" s="2">
        <f t="shared" si="10"/>
        <v>0</v>
      </c>
      <c r="O30" s="2">
        <f t="shared" si="10"/>
        <v>0</v>
      </c>
      <c r="P30" s="2">
        <f t="shared" si="10"/>
        <v>0</v>
      </c>
      <c r="Q30" s="2"/>
      <c r="R30" s="2">
        <f t="shared" si="10"/>
        <v>0</v>
      </c>
      <c r="S30" s="420"/>
      <c r="T30" s="79"/>
    </row>
    <row r="31" spans="1:24" s="14" customFormat="1" x14ac:dyDescent="0.5">
      <c r="L31" s="26"/>
      <c r="M31" s="98"/>
      <c r="Q31" s="26"/>
      <c r="R31" s="424">
        <f>+R29-R28</f>
        <v>0</v>
      </c>
    </row>
    <row r="32" spans="1:24" s="14" customFormat="1" x14ac:dyDescent="0.5">
      <c r="L32" s="26"/>
      <c r="M32" s="98"/>
      <c r="Q32" s="26"/>
      <c r="R32" s="26"/>
    </row>
    <row r="33" spans="12:18" s="14" customFormat="1" x14ac:dyDescent="0.5">
      <c r="L33" s="26"/>
      <c r="M33" s="98"/>
      <c r="Q33" s="26"/>
    </row>
    <row r="34" spans="12:18" s="14" customFormat="1" x14ac:dyDescent="0.5">
      <c r="L34" s="26"/>
      <c r="M34" s="98"/>
      <c r="Q34" s="26"/>
      <c r="R34" s="26"/>
    </row>
    <row r="35" spans="12:18" s="14" customFormat="1" x14ac:dyDescent="0.5">
      <c r="L35" s="26"/>
      <c r="M35" s="98"/>
      <c r="Q35" s="26"/>
      <c r="R35" s="26"/>
    </row>
    <row r="36" spans="12:18" s="14" customFormat="1" x14ac:dyDescent="0.5">
      <c r="L36" s="26"/>
      <c r="M36" s="98"/>
      <c r="Q36" s="26"/>
      <c r="R36" s="26"/>
    </row>
    <row r="37" spans="12:18" s="14" customFormat="1" x14ac:dyDescent="0.5">
      <c r="L37" s="26" t="s">
        <v>257</v>
      </c>
      <c r="M37" s="98"/>
      <c r="N37" s="14">
        <f>+'[2]ต.2กระจาย ต.1 สู่ ต.2-ปี57'!K28</f>
        <v>52980795.31000001</v>
      </c>
      <c r="Q37" s="26"/>
      <c r="R37" s="26"/>
    </row>
    <row r="38" spans="12:18" s="14" customFormat="1" x14ac:dyDescent="0.5">
      <c r="L38" s="26" t="s">
        <v>258</v>
      </c>
      <c r="M38" s="98"/>
      <c r="N38" s="14">
        <f>+N28</f>
        <v>2472250</v>
      </c>
      <c r="Q38" s="26"/>
      <c r="R38" s="26"/>
    </row>
    <row r="39" spans="12:18" s="14" customFormat="1" x14ac:dyDescent="0.5">
      <c r="L39" s="26"/>
      <c r="M39" s="98"/>
      <c r="N39" s="14">
        <f>+N37-N38</f>
        <v>50508545.31000001</v>
      </c>
      <c r="Q39" s="26"/>
      <c r="R39" s="26"/>
    </row>
    <row r="40" spans="12:18" s="14" customFormat="1" x14ac:dyDescent="0.5">
      <c r="L40" s="26"/>
      <c r="M40" s="98"/>
      <c r="Q40" s="26"/>
      <c r="R40" s="26"/>
    </row>
    <row r="41" spans="12:18" s="14" customFormat="1" x14ac:dyDescent="0.5">
      <c r="L41" s="26"/>
      <c r="M41" s="98"/>
      <c r="Q41" s="26"/>
      <c r="R41" s="26"/>
    </row>
    <row r="42" spans="12:18" s="14" customFormat="1" x14ac:dyDescent="0.5">
      <c r="L42" s="26"/>
      <c r="M42" s="98"/>
      <c r="Q42" s="26"/>
      <c r="R42" s="26"/>
    </row>
    <row r="43" spans="12:18" s="14" customFormat="1" x14ac:dyDescent="0.5">
      <c r="L43" s="26"/>
      <c r="M43" s="98"/>
      <c r="Q43" s="26"/>
      <c r="R43" s="26"/>
    </row>
    <row r="44" spans="12:18" s="14" customFormat="1" x14ac:dyDescent="0.5">
      <c r="L44" s="26"/>
      <c r="M44" s="98"/>
      <c r="Q44" s="26"/>
      <c r="R44" s="26"/>
    </row>
    <row r="45" spans="12:18" s="14" customFormat="1" x14ac:dyDescent="0.5">
      <c r="L45" s="26"/>
      <c r="M45" s="98"/>
      <c r="Q45" s="26"/>
      <c r="R45" s="26"/>
    </row>
    <row r="46" spans="12:18" s="14" customFormat="1" x14ac:dyDescent="0.5">
      <c r="L46" s="26"/>
      <c r="M46" s="98"/>
      <c r="Q46" s="26"/>
      <c r="R46" s="26"/>
    </row>
    <row r="47" spans="12:18" s="14" customFormat="1" x14ac:dyDescent="0.5">
      <c r="L47" s="26"/>
      <c r="M47" s="98"/>
      <c r="Q47" s="26"/>
      <c r="R47" s="26"/>
    </row>
    <row r="48" spans="12:18" s="14" customFormat="1" x14ac:dyDescent="0.5">
      <c r="L48" s="26"/>
      <c r="M48" s="98"/>
      <c r="Q48" s="26"/>
      <c r="R48" s="26"/>
    </row>
    <row r="49" spans="12:18" s="14" customFormat="1" x14ac:dyDescent="0.5">
      <c r="L49" s="26"/>
      <c r="M49" s="98"/>
      <c r="Q49" s="26"/>
      <c r="R49" s="26"/>
    </row>
    <row r="50" spans="12:18" s="14" customFormat="1" x14ac:dyDescent="0.5">
      <c r="L50" s="26"/>
      <c r="M50" s="98"/>
      <c r="Q50" s="26"/>
      <c r="R50" s="26"/>
    </row>
    <row r="51" spans="12:18" s="14" customFormat="1" x14ac:dyDescent="0.5">
      <c r="L51" s="26"/>
      <c r="M51" s="98"/>
      <c r="Q51" s="26"/>
      <c r="R51" s="26"/>
    </row>
    <row r="52" spans="12:18" s="14" customFormat="1" x14ac:dyDescent="0.5">
      <c r="L52" s="26"/>
      <c r="M52" s="98"/>
      <c r="Q52" s="26"/>
      <c r="R52" s="26"/>
    </row>
    <row r="53" spans="12:18" s="14" customFormat="1" x14ac:dyDescent="0.5">
      <c r="L53" s="26"/>
      <c r="M53" s="98"/>
      <c r="Q53" s="26"/>
      <c r="R53" s="26"/>
    </row>
  </sheetData>
  <mergeCells count="3">
    <mergeCell ref="B3:L3"/>
    <mergeCell ref="N3:Q3"/>
    <mergeCell ref="A4:A5"/>
  </mergeCells>
  <phoneticPr fontId="4" type="noConversion"/>
  <pageMargins left="0.27559055118110237" right="0" top="0.47244094488188981" bottom="0.39370078740157483" header="0" footer="0"/>
  <pageSetup paperSize="9" scale="59" orientation="landscape" r:id="rId1"/>
  <headerFooter alignWithMargins="0"/>
  <colBreaks count="1" manualBreakCount="1">
    <brk id="1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P107"/>
  <sheetViews>
    <sheetView view="pageBreakPreview" topLeftCell="A67" zoomScale="80" zoomScaleNormal="100" zoomScaleSheetLayoutView="80" workbookViewId="0">
      <selection activeCell="G12" sqref="G12"/>
    </sheetView>
  </sheetViews>
  <sheetFormatPr defaultColWidth="9" defaultRowHeight="21.75" x14ac:dyDescent="0.2"/>
  <cols>
    <col min="1" max="1" width="4" style="826" customWidth="1"/>
    <col min="2" max="2" width="52.5703125" style="1005" customWidth="1"/>
    <col min="3" max="3" width="15.5703125" style="999" bestFit="1" customWidth="1"/>
    <col min="4" max="5" width="14.85546875" style="999" bestFit="1" customWidth="1"/>
    <col min="6" max="6" width="15.85546875" style="999" bestFit="1" customWidth="1"/>
    <col min="7" max="7" width="12.140625" style="1000" bestFit="1" customWidth="1"/>
    <col min="8" max="8" width="21.28515625" style="1003" customWidth="1"/>
    <col min="9" max="9" width="14.7109375" style="826" customWidth="1"/>
    <col min="10" max="10" width="13.85546875" style="826" customWidth="1"/>
    <col min="11" max="11" width="13.85546875" style="826" bestFit="1" customWidth="1"/>
    <col min="12" max="12" width="13.85546875" style="826" hidden="1" customWidth="1"/>
    <col min="13" max="13" width="30.42578125" style="826" bestFit="1" customWidth="1"/>
    <col min="14" max="16384" width="9" style="826"/>
  </cols>
  <sheetData>
    <row r="1" spans="1:16" s="804" customFormat="1" x14ac:dyDescent="0.2">
      <c r="A1" s="798" t="s">
        <v>417</v>
      </c>
      <c r="B1" s="799"/>
      <c r="C1" s="800"/>
      <c r="D1" s="801"/>
      <c r="E1" s="801"/>
      <c r="F1" s="801"/>
      <c r="G1" s="802"/>
      <c r="H1" s="803"/>
    </row>
    <row r="2" spans="1:16" s="804" customFormat="1" ht="22.5" thickBot="1" x14ac:dyDescent="0.25">
      <c r="B2" s="805"/>
      <c r="C2" s="806" t="s">
        <v>418</v>
      </c>
      <c r="D2" s="806" t="s">
        <v>419</v>
      </c>
      <c r="E2" s="806" t="s">
        <v>420</v>
      </c>
      <c r="F2" s="801"/>
      <c r="G2" s="802"/>
      <c r="H2" s="803"/>
      <c r="I2" s="807" t="s">
        <v>117</v>
      </c>
    </row>
    <row r="3" spans="1:16" s="804" customFormat="1" ht="22.5" thickBot="1" x14ac:dyDescent="0.25">
      <c r="A3" s="808" t="s">
        <v>394</v>
      </c>
      <c r="B3" s="809"/>
      <c r="C3" s="810" t="s">
        <v>67</v>
      </c>
      <c r="D3" s="810" t="s">
        <v>69</v>
      </c>
      <c r="E3" s="810" t="s">
        <v>77</v>
      </c>
      <c r="F3" s="810" t="s">
        <v>78</v>
      </c>
      <c r="G3" s="811" t="s">
        <v>80</v>
      </c>
      <c r="H3" s="812" t="s">
        <v>81</v>
      </c>
      <c r="I3" s="812" t="s">
        <v>85</v>
      </c>
      <c r="J3" s="813" t="s">
        <v>311</v>
      </c>
      <c r="K3" s="813" t="s">
        <v>404</v>
      </c>
      <c r="L3" s="814" t="s">
        <v>421</v>
      </c>
      <c r="M3" s="815"/>
    </row>
    <row r="4" spans="1:16" ht="19.5" customHeight="1" x14ac:dyDescent="0.2">
      <c r="A4" s="816" t="s">
        <v>79</v>
      </c>
      <c r="B4" s="817"/>
      <c r="C4" s="818"/>
      <c r="D4" s="818"/>
      <c r="E4" s="818"/>
      <c r="F4" s="818"/>
      <c r="G4" s="819"/>
      <c r="H4" s="820"/>
      <c r="I4" s="821"/>
      <c r="J4" s="822"/>
      <c r="K4" s="823"/>
      <c r="L4" s="824"/>
      <c r="M4" s="825"/>
    </row>
    <row r="5" spans="1:16" s="837" customFormat="1" ht="19.5" customHeight="1" x14ac:dyDescent="0.2">
      <c r="A5" s="827" t="s">
        <v>239</v>
      </c>
      <c r="B5" s="828"/>
      <c r="C5" s="829">
        <f>+'ต.2=กระจาย ต.1สู่ ต.2-ปี61'!B7+'ต.2=กระจาย ต.1สู่ ต.2-ปี61'!C7+'ต.2=กระจาย ต.1สู่ ต.2-ปี61'!D7+'ต.2=กระจาย ต.1สู่ ต.2-ปี61'!F7+'ต.2=กระจาย ต.1สู่ ต.2-ปี61'!G7+'ต.2=กระจาย ต.1สู่ ต.2-ปี61'!H7+'ต.2=กระจาย ต.1สู่ ต.2-ปี61'!J7+'ต.2=กระจาย ต.1สู่ ต.2-ปี61'!M7+'ต.2=กระจาย ต.1สู่ ต.2-ปี61'!O7</f>
        <v>50205519.441729099</v>
      </c>
      <c r="D5" s="829">
        <f>+'ต.2=กระจาย ต.1สู่ ต.2-ปี61'!E7+'ต.2=กระจาย ต.1สู่ ต.2-ปี61'!K7+'ต.2=กระจาย ต.1สู่ ต.2-ปี61'!P7</f>
        <v>3074706.0608974355</v>
      </c>
      <c r="E5" s="829">
        <f>+'ต.2=กระจาย ต.1สู่ ต.2-ปี61'!I7+'ต.2=กระจาย ต.1สู่ ต.2-ปี61'!N7</f>
        <v>1485494.6971428571</v>
      </c>
      <c r="F5" s="829">
        <f t="shared" ref="F5:F36" si="0">SUM(C5:E5)</f>
        <v>54765720.199769385</v>
      </c>
      <c r="G5" s="830"/>
      <c r="H5" s="831"/>
      <c r="I5" s="832"/>
      <c r="J5" s="833">
        <f>SUM(J6:J16)</f>
        <v>100.00000000000001</v>
      </c>
      <c r="K5" s="834">
        <f>SUM(K6:K16)</f>
        <v>100</v>
      </c>
      <c r="L5" s="835">
        <f>SUM(L6:L16)</f>
        <v>4892849.16</v>
      </c>
      <c r="M5" s="836">
        <f>100-K5</f>
        <v>0</v>
      </c>
      <c r="P5" s="834">
        <f>SUM(P6:P16)</f>
        <v>100</v>
      </c>
    </row>
    <row r="6" spans="1:16" ht="19.5" customHeight="1" x14ac:dyDescent="0.2">
      <c r="A6" s="838">
        <v>800</v>
      </c>
      <c r="B6" s="839" t="s">
        <v>422</v>
      </c>
      <c r="C6" s="840">
        <f t="shared" ref="C6:C16" si="1">+$C$5*K6/100</f>
        <v>9639459.7328119855</v>
      </c>
      <c r="D6" s="840">
        <f t="shared" ref="D6:D16" si="2">+$D$5*K6/100</f>
        <v>590343.56369230757</v>
      </c>
      <c r="E6" s="840">
        <f t="shared" ref="E6:E16" si="3">+$E$5*K6/100</f>
        <v>285214.98185142857</v>
      </c>
      <c r="F6" s="841">
        <f t="shared" si="0"/>
        <v>10515018.278355721</v>
      </c>
      <c r="G6" s="842">
        <v>1</v>
      </c>
      <c r="H6" s="843" t="s">
        <v>1</v>
      </c>
      <c r="I6" s="844">
        <f t="shared" ref="I6:I16" si="4">+F6/G6</f>
        <v>10515018.278355721</v>
      </c>
      <c r="J6" s="845">
        <v>16.3</v>
      </c>
      <c r="K6" s="846">
        <f>16.3+2.9</f>
        <v>19.2</v>
      </c>
      <c r="L6" s="847">
        <v>17.84</v>
      </c>
      <c r="M6" s="825"/>
      <c r="N6" s="826">
        <v>8.6999999999999993</v>
      </c>
      <c r="P6" s="846">
        <f>16.3+2.9</f>
        <v>19.2</v>
      </c>
    </row>
    <row r="7" spans="1:16" ht="19.5" customHeight="1" x14ac:dyDescent="0.2">
      <c r="A7" s="848">
        <v>801</v>
      </c>
      <c r="B7" s="849" t="s">
        <v>423</v>
      </c>
      <c r="C7" s="850">
        <f t="shared" si="1"/>
        <v>7897328.2081839871</v>
      </c>
      <c r="D7" s="850">
        <f t="shared" si="2"/>
        <v>483651.26337916666</v>
      </c>
      <c r="E7" s="850">
        <f t="shared" si="3"/>
        <v>233668.31586057143</v>
      </c>
      <c r="F7" s="851">
        <f t="shared" si="0"/>
        <v>8614647.7874237262</v>
      </c>
      <c r="G7" s="682">
        <v>4</v>
      </c>
      <c r="H7" s="852" t="s">
        <v>28</v>
      </c>
      <c r="I7" s="853">
        <f t="shared" si="4"/>
        <v>2153661.9468559315</v>
      </c>
      <c r="J7" s="854">
        <v>15.73</v>
      </c>
      <c r="K7" s="855">
        <v>15.73</v>
      </c>
      <c r="L7" s="847">
        <v>17.93</v>
      </c>
      <c r="M7" s="825"/>
      <c r="N7" s="826">
        <v>13.53</v>
      </c>
      <c r="P7" s="855">
        <v>15.73</v>
      </c>
    </row>
    <row r="8" spans="1:16" ht="19.5" customHeight="1" x14ac:dyDescent="0.2">
      <c r="A8" s="848">
        <v>802</v>
      </c>
      <c r="B8" s="849" t="s">
        <v>424</v>
      </c>
      <c r="C8" s="850">
        <f t="shared" si="1"/>
        <v>10884556.614966869</v>
      </c>
      <c r="D8" s="850">
        <f t="shared" si="2"/>
        <v>666596.27400256402</v>
      </c>
      <c r="E8" s="850">
        <f t="shared" si="3"/>
        <v>322055.25034057139</v>
      </c>
      <c r="F8" s="851">
        <f t="shared" si="0"/>
        <v>11873208.139310004</v>
      </c>
      <c r="G8" s="682">
        <v>18</v>
      </c>
      <c r="H8" s="852" t="s">
        <v>1</v>
      </c>
      <c r="I8" s="853">
        <f t="shared" si="4"/>
        <v>659622.67440611136</v>
      </c>
      <c r="J8" s="854">
        <v>24.68</v>
      </c>
      <c r="K8" s="855">
        <f>24.68-3</f>
        <v>21.68</v>
      </c>
      <c r="L8" s="847">
        <f>20.12+10-2</f>
        <v>28.12</v>
      </c>
      <c r="M8" s="825"/>
      <c r="N8" s="826">
        <v>10.63</v>
      </c>
      <c r="P8" s="855">
        <v>24.68</v>
      </c>
    </row>
    <row r="9" spans="1:16" ht="19.5" customHeight="1" x14ac:dyDescent="0.2">
      <c r="A9" s="848">
        <v>803</v>
      </c>
      <c r="B9" s="849" t="s">
        <v>425</v>
      </c>
      <c r="C9" s="850">
        <f t="shared" si="1"/>
        <v>5522607.1385902008</v>
      </c>
      <c r="D9" s="850">
        <f t="shared" si="2"/>
        <v>338217.66669871792</v>
      </c>
      <c r="E9" s="850">
        <f t="shared" si="3"/>
        <v>163404.41668571427</v>
      </c>
      <c r="F9" s="851">
        <f t="shared" si="0"/>
        <v>6024229.2219746327</v>
      </c>
      <c r="G9" s="682">
        <v>26</v>
      </c>
      <c r="H9" s="852" t="s">
        <v>29</v>
      </c>
      <c r="I9" s="853">
        <f t="shared" si="4"/>
        <v>231701.12392210125</v>
      </c>
      <c r="J9" s="854">
        <v>11</v>
      </c>
      <c r="K9" s="855">
        <v>11</v>
      </c>
      <c r="L9" s="847">
        <v>12.54</v>
      </c>
      <c r="M9" s="825"/>
      <c r="N9" s="826">
        <v>3.86</v>
      </c>
      <c r="P9" s="855">
        <v>11</v>
      </c>
    </row>
    <row r="10" spans="1:16" ht="19.5" customHeight="1" x14ac:dyDescent="0.2">
      <c r="A10" s="848">
        <v>804</v>
      </c>
      <c r="B10" s="849" t="s">
        <v>426</v>
      </c>
      <c r="C10" s="850">
        <f t="shared" si="1"/>
        <v>1506165.583251873</v>
      </c>
      <c r="D10" s="850">
        <f t="shared" si="2"/>
        <v>92241.181826923057</v>
      </c>
      <c r="E10" s="850">
        <f t="shared" si="3"/>
        <v>44564.840914285713</v>
      </c>
      <c r="F10" s="851">
        <f t="shared" si="0"/>
        <v>1642971.6059930818</v>
      </c>
      <c r="G10" s="682">
        <v>12</v>
      </c>
      <c r="H10" s="852" t="s">
        <v>28</v>
      </c>
      <c r="I10" s="853">
        <f t="shared" si="4"/>
        <v>136914.30049942349</v>
      </c>
      <c r="J10" s="854">
        <v>3</v>
      </c>
      <c r="K10" s="855">
        <v>3</v>
      </c>
      <c r="L10" s="847">
        <v>3.42</v>
      </c>
      <c r="M10" s="825"/>
      <c r="N10" s="826">
        <v>3.86</v>
      </c>
      <c r="P10" s="855">
        <v>3</v>
      </c>
    </row>
    <row r="11" spans="1:16" ht="19.5" customHeight="1" x14ac:dyDescent="0.2">
      <c r="A11" s="848">
        <v>805</v>
      </c>
      <c r="B11" s="849" t="s">
        <v>427</v>
      </c>
      <c r="C11" s="850">
        <f t="shared" si="1"/>
        <v>2008220.7776691639</v>
      </c>
      <c r="D11" s="850">
        <f t="shared" si="2"/>
        <v>122988.24243589742</v>
      </c>
      <c r="E11" s="850">
        <f t="shared" si="3"/>
        <v>59419.787885714286</v>
      </c>
      <c r="F11" s="851">
        <f t="shared" si="0"/>
        <v>2190628.8079907754</v>
      </c>
      <c r="G11" s="682">
        <v>16</v>
      </c>
      <c r="H11" s="852" t="s">
        <v>28</v>
      </c>
      <c r="I11" s="853">
        <f t="shared" si="4"/>
        <v>136914.30049942347</v>
      </c>
      <c r="J11" s="854">
        <v>4</v>
      </c>
      <c r="K11" s="855">
        <v>4</v>
      </c>
      <c r="L11" s="847">
        <v>5.04</v>
      </c>
      <c r="M11" s="825"/>
      <c r="N11" s="826">
        <v>5.8</v>
      </c>
      <c r="P11" s="855">
        <v>4</v>
      </c>
    </row>
    <row r="12" spans="1:16" ht="19.5" customHeight="1" x14ac:dyDescent="0.2">
      <c r="A12" s="848">
        <v>806</v>
      </c>
      <c r="B12" s="849" t="s">
        <v>428</v>
      </c>
      <c r="C12" s="850">
        <f t="shared" si="1"/>
        <v>6210422.7549418891</v>
      </c>
      <c r="D12" s="850">
        <f t="shared" si="2"/>
        <v>380341.13973301277</v>
      </c>
      <c r="E12" s="850">
        <f t="shared" si="3"/>
        <v>183755.69403657143</v>
      </c>
      <c r="F12" s="851">
        <f t="shared" si="0"/>
        <v>6774519.5887114732</v>
      </c>
      <c r="G12" s="682">
        <v>40</v>
      </c>
      <c r="H12" s="852" t="s">
        <v>28</v>
      </c>
      <c r="I12" s="853">
        <f t="shared" si="4"/>
        <v>169362.98971778684</v>
      </c>
      <c r="J12" s="854">
        <v>9.3699999999999992</v>
      </c>
      <c r="K12" s="855">
        <f>9.37+3</f>
        <v>12.37</v>
      </c>
      <c r="L12" s="847">
        <f>18.67-10+2</f>
        <v>10.670000000000002</v>
      </c>
      <c r="M12" s="825"/>
      <c r="N12" s="826">
        <v>20.29</v>
      </c>
      <c r="P12" s="855">
        <v>9.3699999999999992</v>
      </c>
    </row>
    <row r="13" spans="1:16" x14ac:dyDescent="0.2">
      <c r="A13" s="848">
        <v>507</v>
      </c>
      <c r="B13" s="856" t="s">
        <v>475</v>
      </c>
      <c r="C13" s="850">
        <f t="shared" si="1"/>
        <v>0</v>
      </c>
      <c r="D13" s="850">
        <f t="shared" si="2"/>
        <v>0</v>
      </c>
      <c r="E13" s="850">
        <f t="shared" si="3"/>
        <v>0</v>
      </c>
      <c r="F13" s="851">
        <f t="shared" si="0"/>
        <v>0</v>
      </c>
      <c r="G13" s="857"/>
      <c r="H13" s="858"/>
      <c r="I13" s="853" t="e">
        <f t="shared" si="4"/>
        <v>#DIV/0!</v>
      </c>
      <c r="J13" s="859">
        <v>2.9</v>
      </c>
      <c r="K13" s="860"/>
      <c r="L13" s="861">
        <v>4.4400000000000004</v>
      </c>
      <c r="M13" s="862"/>
      <c r="P13" s="860"/>
    </row>
    <row r="14" spans="1:16" ht="24" customHeight="1" x14ac:dyDescent="0.5">
      <c r="A14" s="863">
        <v>808</v>
      </c>
      <c r="B14" s="864" t="s">
        <v>476</v>
      </c>
      <c r="C14" s="850">
        <f t="shared" si="1"/>
        <v>4518496.7497556182</v>
      </c>
      <c r="D14" s="850">
        <f t="shared" si="2"/>
        <v>276723.54548076919</v>
      </c>
      <c r="E14" s="850">
        <f t="shared" si="3"/>
        <v>133694.52274285714</v>
      </c>
      <c r="F14" s="851">
        <f t="shared" si="0"/>
        <v>4928914.8179792445</v>
      </c>
      <c r="G14" s="682">
        <v>3</v>
      </c>
      <c r="H14" s="852" t="s">
        <v>28</v>
      </c>
      <c r="I14" s="853">
        <f t="shared" si="4"/>
        <v>1642971.6059930816</v>
      </c>
      <c r="J14" s="859">
        <v>9</v>
      </c>
      <c r="K14" s="860">
        <v>9</v>
      </c>
      <c r="L14" s="865">
        <v>4892749.16</v>
      </c>
      <c r="M14" s="866"/>
      <c r="N14" s="826">
        <v>10.63</v>
      </c>
      <c r="P14" s="860">
        <v>9</v>
      </c>
    </row>
    <row r="15" spans="1:16" x14ac:dyDescent="0.5">
      <c r="A15" s="863">
        <v>809</v>
      </c>
      <c r="B15" s="867" t="s">
        <v>579</v>
      </c>
      <c r="C15" s="850">
        <f t="shared" si="1"/>
        <v>1004110.3888345819</v>
      </c>
      <c r="D15" s="850">
        <f t="shared" si="2"/>
        <v>61494.121217948712</v>
      </c>
      <c r="E15" s="850">
        <f t="shared" si="3"/>
        <v>29709.893942857143</v>
      </c>
      <c r="F15" s="851">
        <f t="shared" si="0"/>
        <v>1095314.4039953877</v>
      </c>
      <c r="G15" s="682">
        <v>1</v>
      </c>
      <c r="H15" s="852" t="s">
        <v>1</v>
      </c>
      <c r="I15" s="853">
        <f t="shared" si="4"/>
        <v>1095314.4039953877</v>
      </c>
      <c r="J15" s="859">
        <v>2</v>
      </c>
      <c r="K15" s="868">
        <v>2</v>
      </c>
      <c r="L15" s="869"/>
      <c r="M15" s="866"/>
      <c r="N15" s="826">
        <v>13.04</v>
      </c>
      <c r="P15" s="868">
        <v>2</v>
      </c>
    </row>
    <row r="16" spans="1:16" ht="22.5" thickBot="1" x14ac:dyDescent="0.55000000000000004">
      <c r="A16" s="870">
        <v>810</v>
      </c>
      <c r="B16" s="871" t="s">
        <v>477</v>
      </c>
      <c r="C16" s="872">
        <f t="shared" si="1"/>
        <v>1014151.4927229278</v>
      </c>
      <c r="D16" s="872">
        <f t="shared" si="2"/>
        <v>62109.062430128193</v>
      </c>
      <c r="E16" s="872">
        <f t="shared" si="3"/>
        <v>30006.992882285715</v>
      </c>
      <c r="F16" s="873">
        <f t="shared" si="0"/>
        <v>1106267.5480353418</v>
      </c>
      <c r="G16" s="874">
        <v>1</v>
      </c>
      <c r="H16" s="875" t="s">
        <v>1</v>
      </c>
      <c r="I16" s="876">
        <f t="shared" si="4"/>
        <v>1106267.5480353418</v>
      </c>
      <c r="J16" s="877">
        <v>2.02</v>
      </c>
      <c r="K16" s="878">
        <v>2.02</v>
      </c>
      <c r="L16" s="869"/>
      <c r="M16" s="866"/>
      <c r="N16" s="826">
        <v>9.66</v>
      </c>
      <c r="P16" s="878">
        <v>2.02</v>
      </c>
    </row>
    <row r="17" spans="1:14" ht="19.5" customHeight="1" x14ac:dyDescent="0.2">
      <c r="A17" s="816" t="s">
        <v>137</v>
      </c>
      <c r="B17" s="879"/>
      <c r="C17" s="880">
        <f>+'ต.2=กระจาย ต.1สู่ ต.2-ปี61'!B8+'ต.2=กระจาย ต.1สู่ ต.2-ปี61'!C8+'ต.2=กระจาย ต.1สู่ ต.2-ปี61'!D8+'ต.2=กระจาย ต.1สู่ ต.2-ปี61'!F8+'ต.2=กระจาย ต.1สู่ ต.2-ปี61'!G8+'ต.2=กระจาย ต.1สู่ ต.2-ปี61'!H8+'ต.2=กระจาย ต.1สู่ ต.2-ปี61'!J8+'ต.2=กระจาย ต.1สู่ ต.2-ปี61'!M8+'ต.2=กระจาย ต.1สู่ ต.2-ปี61'!O8</f>
        <v>1797051.5097435897</v>
      </c>
      <c r="D17" s="880">
        <f>+'ต.2=กระจาย ต.1สู่ ต.2-ปี61'!E8+'ต.2=กระจาย ต.1สู่ ต.2-ปี61'!K8+'ต.2=กระจาย ต.1สู่ ต.2-ปี61'!P8</f>
        <v>519668.99055555556</v>
      </c>
      <c r="E17" s="880">
        <f>+'ต.2=กระจาย ต.1สู่ ต.2-ปี61'!I8+'ต.2=กระจาย ต.1สู่ ต.2-ปี61'!N8</f>
        <v>252444.79</v>
      </c>
      <c r="F17" s="880">
        <f t="shared" si="0"/>
        <v>2569165.2902991455</v>
      </c>
      <c r="G17" s="881"/>
      <c r="H17" s="820"/>
      <c r="I17" s="882"/>
      <c r="J17" s="883">
        <f>SUM(J18:J18)</f>
        <v>100</v>
      </c>
      <c r="K17" s="884">
        <v>100</v>
      </c>
      <c r="L17" s="885">
        <v>100</v>
      </c>
      <c r="M17" s="836"/>
    </row>
    <row r="18" spans="1:14" ht="19.5" customHeight="1" thickBot="1" x14ac:dyDescent="0.55000000000000004">
      <c r="A18" s="886">
        <v>807</v>
      </c>
      <c r="B18" s="887" t="s">
        <v>183</v>
      </c>
      <c r="C18" s="888">
        <f>+C17*$K$18/100</f>
        <v>1797051.5097435897</v>
      </c>
      <c r="D18" s="888">
        <f>+D17*$K$18/100</f>
        <v>519668.9905555555</v>
      </c>
      <c r="E18" s="888">
        <f>+E17*$K$18/100</f>
        <v>252444.79</v>
      </c>
      <c r="F18" s="889">
        <f t="shared" si="0"/>
        <v>2569165.290299145</v>
      </c>
      <c r="G18" s="890">
        <v>5</v>
      </c>
      <c r="H18" s="891" t="s">
        <v>1</v>
      </c>
      <c r="I18" s="892">
        <f>+F18/G18</f>
        <v>513833.058059829</v>
      </c>
      <c r="J18" s="893">
        <v>100</v>
      </c>
      <c r="K18" s="894">
        <v>100</v>
      </c>
      <c r="L18" s="865">
        <v>100</v>
      </c>
      <c r="M18" s="866"/>
      <c r="N18" s="895"/>
    </row>
    <row r="19" spans="1:14" s="837" customFormat="1" ht="19.5" customHeight="1" x14ac:dyDescent="0.2">
      <c r="A19" s="896" t="s">
        <v>240</v>
      </c>
      <c r="B19" s="817"/>
      <c r="C19" s="880">
        <f>+'ต.2=กระจาย ต.1สู่ ต.2-ปี61'!B10+'ต.2=กระจาย ต.1สู่ ต.2-ปี61'!C10+'ต.2=กระจาย ต.1สู่ ต.2-ปี61'!D10+'ต.2=กระจาย ต.1สู่ ต.2-ปี61'!F10+'ต.2=กระจาย ต.1สู่ ต.2-ปี61'!G10+'ต.2=กระจาย ต.1สู่ ต.2-ปี61'!H10+'ต.2=กระจาย ต.1สู่ ต.2-ปี61'!J10+'ต.2=กระจาย ต.1สู่ ต.2-ปี61'!M10+'ต.2=กระจาย ต.1สู่ ต.2-ปี61'!O10</f>
        <v>14109935.519654179</v>
      </c>
      <c r="D19" s="880">
        <f>+'ต.2=กระจาย ต.1สู่ ต.2-ปี61'!E10+'ต.2=กระจาย ต.1สู่ ต.2-ปี61'!K10+'ต.2=กระจาย ต.1สู่ ต.2-ปี61'!P10</f>
        <v>1048945.6919230768</v>
      </c>
      <c r="E19" s="880">
        <f>+'ต.2=กระจาย ต.1สู่ ต.2-ปี61'!I10+'ต.2=กระจาย ต.1สู่ ต.2-ปี61'!N10</f>
        <v>371225.27571428567</v>
      </c>
      <c r="F19" s="880">
        <f t="shared" si="0"/>
        <v>15530106.487291541</v>
      </c>
      <c r="G19" s="897"/>
      <c r="H19" s="898"/>
      <c r="I19" s="882"/>
      <c r="J19" s="883">
        <f>SUM(J20:J25)</f>
        <v>99.999999999999986</v>
      </c>
      <c r="K19" s="884">
        <f>SUM(K20:K25)</f>
        <v>100</v>
      </c>
      <c r="L19" s="899">
        <f>SUM(L20:L24)</f>
        <v>66.72</v>
      </c>
      <c r="M19" s="836"/>
      <c r="N19" s="900"/>
    </row>
    <row r="20" spans="1:14" ht="19.5" customHeight="1" x14ac:dyDescent="0.2">
      <c r="A20" s="838">
        <v>500</v>
      </c>
      <c r="B20" s="901" t="s">
        <v>144</v>
      </c>
      <c r="C20" s="902">
        <f t="shared" ref="C20:C25" si="5">+$C$19*K20/100</f>
        <v>2367647.1801979714</v>
      </c>
      <c r="D20" s="902">
        <f t="shared" ref="D20:D25" si="6">+$D$19*K20/100</f>
        <v>176013.08710469227</v>
      </c>
      <c r="E20" s="902">
        <f t="shared" ref="E20:E25" si="7">+$E$19*K20/100</f>
        <v>62291.601264857134</v>
      </c>
      <c r="F20" s="903">
        <f t="shared" si="0"/>
        <v>2605951.8685675208</v>
      </c>
      <c r="G20" s="904">
        <v>1</v>
      </c>
      <c r="H20" s="905" t="s">
        <v>1</v>
      </c>
      <c r="I20" s="906">
        <f t="shared" ref="I20:I25" si="8">+F20/G20</f>
        <v>2605951.8685675208</v>
      </c>
      <c r="J20" s="907">
        <v>20.22</v>
      </c>
      <c r="K20" s="908">
        <v>16.78</v>
      </c>
      <c r="L20" s="865">
        <v>18.760000000000002</v>
      </c>
      <c r="M20" s="866"/>
    </row>
    <row r="21" spans="1:14" ht="19.5" customHeight="1" x14ac:dyDescent="0.2">
      <c r="A21" s="848">
        <v>501</v>
      </c>
      <c r="B21" s="909" t="s">
        <v>275</v>
      </c>
      <c r="C21" s="850">
        <f t="shared" si="5"/>
        <v>1893553.3467375906</v>
      </c>
      <c r="D21" s="850">
        <f t="shared" si="6"/>
        <v>140768.51185607689</v>
      </c>
      <c r="E21" s="850">
        <f t="shared" si="7"/>
        <v>49818.432000857138</v>
      </c>
      <c r="F21" s="851">
        <f t="shared" si="0"/>
        <v>2084140.2905945245</v>
      </c>
      <c r="G21" s="682">
        <v>1</v>
      </c>
      <c r="H21" s="852" t="s">
        <v>1</v>
      </c>
      <c r="I21" s="853">
        <f t="shared" si="8"/>
        <v>2084140.2905945245</v>
      </c>
      <c r="J21" s="910">
        <v>15.3</v>
      </c>
      <c r="K21" s="911">
        <v>13.42</v>
      </c>
      <c r="L21" s="865">
        <v>10.5</v>
      </c>
      <c r="M21" s="866"/>
    </row>
    <row r="22" spans="1:14" ht="19.5" customHeight="1" x14ac:dyDescent="0.2">
      <c r="A22" s="848">
        <v>502</v>
      </c>
      <c r="B22" s="912" t="s">
        <v>146</v>
      </c>
      <c r="C22" s="850">
        <f t="shared" si="5"/>
        <v>2556720.3161613373</v>
      </c>
      <c r="D22" s="850">
        <f t="shared" si="6"/>
        <v>190068.95937646151</v>
      </c>
      <c r="E22" s="850">
        <f t="shared" si="7"/>
        <v>67266.019959428566</v>
      </c>
      <c r="F22" s="851">
        <f t="shared" si="0"/>
        <v>2814055.295497227</v>
      </c>
      <c r="G22" s="682">
        <v>1</v>
      </c>
      <c r="H22" s="852" t="s">
        <v>1</v>
      </c>
      <c r="I22" s="853">
        <f t="shared" si="8"/>
        <v>2814055.295497227</v>
      </c>
      <c r="J22" s="910">
        <v>19.670000000000002</v>
      </c>
      <c r="K22" s="911">
        <v>18.12</v>
      </c>
      <c r="L22" s="865">
        <v>21.62</v>
      </c>
      <c r="M22" s="866"/>
    </row>
    <row r="23" spans="1:14" ht="19.5" customHeight="1" x14ac:dyDescent="0.2">
      <c r="A23" s="848">
        <v>503</v>
      </c>
      <c r="B23" s="909" t="s">
        <v>276</v>
      </c>
      <c r="C23" s="850">
        <f t="shared" si="5"/>
        <v>2840330.0201063859</v>
      </c>
      <c r="D23" s="850">
        <f t="shared" si="6"/>
        <v>211152.76778411533</v>
      </c>
      <c r="E23" s="850">
        <f t="shared" si="7"/>
        <v>74727.648001285692</v>
      </c>
      <c r="F23" s="851">
        <f t="shared" si="0"/>
        <v>3126210.4358917871</v>
      </c>
      <c r="G23" s="682">
        <v>1</v>
      </c>
      <c r="H23" s="852" t="s">
        <v>1</v>
      </c>
      <c r="I23" s="853">
        <f t="shared" si="8"/>
        <v>3126210.4358917871</v>
      </c>
      <c r="J23" s="910">
        <v>20.22</v>
      </c>
      <c r="K23" s="911">
        <v>20.13</v>
      </c>
      <c r="L23" s="865">
        <v>8.19</v>
      </c>
      <c r="M23" s="866"/>
    </row>
    <row r="24" spans="1:14" ht="19.5" customHeight="1" x14ac:dyDescent="0.2">
      <c r="A24" s="848">
        <v>504</v>
      </c>
      <c r="B24" s="909" t="s">
        <v>277</v>
      </c>
      <c r="C24" s="850">
        <f t="shared" si="5"/>
        <v>3314423.8535667663</v>
      </c>
      <c r="D24" s="850">
        <f t="shared" si="6"/>
        <v>246397.34303273071</v>
      </c>
      <c r="E24" s="850">
        <f t="shared" si="7"/>
        <v>87200.817265285703</v>
      </c>
      <c r="F24" s="851">
        <f t="shared" si="0"/>
        <v>3648022.0138647826</v>
      </c>
      <c r="G24" s="682">
        <v>1</v>
      </c>
      <c r="H24" s="852" t="s">
        <v>1</v>
      </c>
      <c r="I24" s="853">
        <f t="shared" si="8"/>
        <v>3648022.0138647826</v>
      </c>
      <c r="J24" s="910">
        <v>19.13</v>
      </c>
      <c r="K24" s="911">
        <v>23.49</v>
      </c>
      <c r="L24" s="865">
        <v>7.65</v>
      </c>
      <c r="M24" s="866"/>
    </row>
    <row r="25" spans="1:14" ht="22.5" thickBot="1" x14ac:dyDescent="0.55000000000000004">
      <c r="A25" s="913">
        <v>505</v>
      </c>
      <c r="B25" s="914" t="s">
        <v>448</v>
      </c>
      <c r="C25" s="872">
        <f t="shared" si="5"/>
        <v>1137260.802884127</v>
      </c>
      <c r="D25" s="872">
        <f t="shared" si="6"/>
        <v>84545.022768999988</v>
      </c>
      <c r="E25" s="872">
        <f t="shared" si="7"/>
        <v>29920.757222571428</v>
      </c>
      <c r="F25" s="873">
        <f t="shared" si="0"/>
        <v>1251726.5828756983</v>
      </c>
      <c r="G25" s="874">
        <v>12</v>
      </c>
      <c r="H25" s="875" t="s">
        <v>1</v>
      </c>
      <c r="I25" s="876">
        <f t="shared" si="8"/>
        <v>104310.54857297486</v>
      </c>
      <c r="J25" s="915">
        <v>5.46</v>
      </c>
      <c r="K25" s="878">
        <v>8.06</v>
      </c>
      <c r="L25" s="869"/>
      <c r="M25" s="825" t="s">
        <v>429</v>
      </c>
    </row>
    <row r="26" spans="1:14" s="837" customFormat="1" x14ac:dyDescent="0.2">
      <c r="A26" s="816" t="s">
        <v>91</v>
      </c>
      <c r="B26" s="916"/>
      <c r="C26" s="917">
        <f>+'ต.2=กระจาย ต.1สู่ ต.2-ปี61'!B9+'ต.2=กระจาย ต.1สู่ ต.2-ปี61'!C9+'ต.2=กระจาย ต.1สู่ ต.2-ปี61'!D9+'ต.2=กระจาย ต.1สู่ ต.2-ปี61'!F9+'ต.2=กระจาย ต.1สู่ ต.2-ปี61'!G9+'ต.2=กระจาย ต.1สู่ ต.2-ปี61'!H9+'ต.2=กระจาย ต.1สู่ ต.2-ปี61'!J9+'ต.2=กระจาย ต.1สู่ ต.2-ปี61'!M9+'ต.2=กระจาย ต.1สู่ ต.2-ปี61'!O9</f>
        <v>67287759.800000012</v>
      </c>
      <c r="D26" s="917">
        <f>+'ต.2=กระจาย ต.1สู่ ต.2-ปี61'!E9+'ต.2=กระจาย ต.1สู่ ต.2-ปี61'!K9+'ต.2=กระจาย ต.1สู่ ต.2-ปี61'!P9</f>
        <v>3685613.8947008546</v>
      </c>
      <c r="E26" s="917">
        <f>+'ต.2=กระจาย ต.1สู่ ต.2-ปี61'!I9+'ต.2=กระจาย ต.1สู่ ต.2-ปี61'!N9</f>
        <v>1640159.5799999998</v>
      </c>
      <c r="F26" s="917">
        <f t="shared" si="0"/>
        <v>72613533.274700865</v>
      </c>
      <c r="G26" s="918"/>
      <c r="H26" s="919"/>
      <c r="I26" s="920"/>
      <c r="J26" s="921">
        <f>SUM(J27:J39)</f>
        <v>100</v>
      </c>
      <c r="K26" s="922">
        <f>SUM(K27:K40)</f>
        <v>100</v>
      </c>
      <c r="L26" s="923">
        <f>SUM(L27:L39)</f>
        <v>99.999999999999972</v>
      </c>
      <c r="M26" s="924"/>
    </row>
    <row r="27" spans="1:14" ht="27" customHeight="1" x14ac:dyDescent="0.2">
      <c r="A27" s="925">
        <v>901</v>
      </c>
      <c r="B27" s="926" t="s">
        <v>478</v>
      </c>
      <c r="C27" s="840">
        <f t="shared" ref="C27:C40" si="9">+$C$26*K27/100</f>
        <v>10093163.970000003</v>
      </c>
      <c r="D27" s="840">
        <f t="shared" ref="D27:D40" si="10">+$D$26*K27/100</f>
        <v>552842.08420512814</v>
      </c>
      <c r="E27" s="840">
        <f t="shared" ref="E27:E40" si="11">+$E$26*K27/100</f>
        <v>246023.93700000001</v>
      </c>
      <c r="F27" s="841">
        <f t="shared" si="0"/>
        <v>10892029.991205132</v>
      </c>
      <c r="G27" s="842">
        <v>7</v>
      </c>
      <c r="H27" s="843" t="s">
        <v>7</v>
      </c>
      <c r="I27" s="844">
        <f t="shared" ref="I27:I40" si="12">+F27/G27</f>
        <v>1556004.2844578759</v>
      </c>
      <c r="J27" s="927">
        <v>15.56</v>
      </c>
      <c r="K27" s="928">
        <v>15</v>
      </c>
      <c r="L27" s="929">
        <v>12.86</v>
      </c>
      <c r="M27" s="930">
        <v>7</v>
      </c>
      <c r="N27" s="895">
        <f>+G27-M27</f>
        <v>0</v>
      </c>
    </row>
    <row r="28" spans="1:14" ht="27" customHeight="1" x14ac:dyDescent="0.2">
      <c r="A28" s="931">
        <v>902</v>
      </c>
      <c r="B28" s="864" t="s">
        <v>39</v>
      </c>
      <c r="C28" s="850">
        <f t="shared" si="9"/>
        <v>4144926.003680001</v>
      </c>
      <c r="D28" s="850">
        <f t="shared" si="10"/>
        <v>227033.81591357265</v>
      </c>
      <c r="E28" s="850">
        <f t="shared" si="11"/>
        <v>101033.83012799999</v>
      </c>
      <c r="F28" s="851">
        <f t="shared" si="0"/>
        <v>4472993.649721574</v>
      </c>
      <c r="G28" s="682">
        <v>2</v>
      </c>
      <c r="H28" s="852" t="s">
        <v>1</v>
      </c>
      <c r="I28" s="853">
        <f t="shared" si="12"/>
        <v>2236496.824860787</v>
      </c>
      <c r="J28" s="910">
        <v>5.71</v>
      </c>
      <c r="K28" s="932">
        <v>6.16</v>
      </c>
      <c r="L28" s="929">
        <v>6.66</v>
      </c>
      <c r="M28" s="930">
        <v>2</v>
      </c>
      <c r="N28" s="895">
        <f t="shared" ref="N28:N40" si="13">+G28-M28</f>
        <v>0</v>
      </c>
    </row>
    <row r="29" spans="1:14" ht="27" customHeight="1" x14ac:dyDescent="0.2">
      <c r="A29" s="931">
        <v>903</v>
      </c>
      <c r="B29" s="864" t="s">
        <v>479</v>
      </c>
      <c r="C29" s="850">
        <f t="shared" si="9"/>
        <v>5766561.0148600014</v>
      </c>
      <c r="D29" s="850">
        <f t="shared" si="10"/>
        <v>315857.11077586323</v>
      </c>
      <c r="E29" s="850">
        <f t="shared" si="11"/>
        <v>140561.67600599999</v>
      </c>
      <c r="F29" s="851">
        <f t="shared" si="0"/>
        <v>6222979.8016418638</v>
      </c>
      <c r="G29" s="682">
        <v>4</v>
      </c>
      <c r="H29" s="852" t="s">
        <v>7</v>
      </c>
      <c r="I29" s="853">
        <f t="shared" si="12"/>
        <v>1555744.9504104659</v>
      </c>
      <c r="J29" s="910">
        <v>8.9</v>
      </c>
      <c r="K29" s="932">
        <v>8.57</v>
      </c>
      <c r="L29" s="929">
        <v>8.57</v>
      </c>
      <c r="M29" s="930">
        <v>4</v>
      </c>
      <c r="N29" s="895">
        <f t="shared" si="13"/>
        <v>0</v>
      </c>
    </row>
    <row r="30" spans="1:14" ht="27" customHeight="1" x14ac:dyDescent="0.2">
      <c r="A30" s="931">
        <v>904</v>
      </c>
      <c r="B30" s="864" t="s">
        <v>40</v>
      </c>
      <c r="C30" s="850">
        <f t="shared" si="9"/>
        <v>6210660.2295400016</v>
      </c>
      <c r="D30" s="850">
        <f t="shared" si="10"/>
        <v>340182.16248088889</v>
      </c>
      <c r="E30" s="850">
        <f t="shared" si="11"/>
        <v>151386.729234</v>
      </c>
      <c r="F30" s="851">
        <f t="shared" si="0"/>
        <v>6702229.1212548902</v>
      </c>
      <c r="G30" s="857">
        <v>3</v>
      </c>
      <c r="H30" s="852" t="s">
        <v>1</v>
      </c>
      <c r="I30" s="853">
        <f t="shared" si="12"/>
        <v>2234076.3737516301</v>
      </c>
      <c r="J30" s="910">
        <v>8.56</v>
      </c>
      <c r="K30" s="932">
        <v>9.23</v>
      </c>
      <c r="L30" s="929">
        <v>3.35</v>
      </c>
      <c r="M30" s="930">
        <v>3</v>
      </c>
      <c r="N30" s="895">
        <f t="shared" si="13"/>
        <v>0</v>
      </c>
    </row>
    <row r="31" spans="1:14" ht="27" customHeight="1" x14ac:dyDescent="0.2">
      <c r="A31" s="931">
        <v>905</v>
      </c>
      <c r="B31" s="864" t="s">
        <v>480</v>
      </c>
      <c r="C31" s="850">
        <f t="shared" si="9"/>
        <v>10093163.970000003</v>
      </c>
      <c r="D31" s="850">
        <f t="shared" si="10"/>
        <v>552842.08420512814</v>
      </c>
      <c r="E31" s="850">
        <f t="shared" si="11"/>
        <v>246023.93700000001</v>
      </c>
      <c r="F31" s="851">
        <f t="shared" si="0"/>
        <v>10892029.991205132</v>
      </c>
      <c r="G31" s="682">
        <v>7</v>
      </c>
      <c r="H31" s="852" t="s">
        <v>7</v>
      </c>
      <c r="I31" s="853">
        <f t="shared" si="12"/>
        <v>1556004.2844578759</v>
      </c>
      <c r="J31" s="910">
        <v>15.56</v>
      </c>
      <c r="K31" s="932">
        <v>15</v>
      </c>
      <c r="L31" s="929">
        <v>15</v>
      </c>
      <c r="M31" s="930">
        <v>7</v>
      </c>
      <c r="N31" s="895">
        <f t="shared" si="13"/>
        <v>0</v>
      </c>
    </row>
    <row r="32" spans="1:14" ht="27" customHeight="1" x14ac:dyDescent="0.2">
      <c r="A32" s="931">
        <v>906</v>
      </c>
      <c r="B32" s="864" t="s">
        <v>41</v>
      </c>
      <c r="C32" s="850">
        <f t="shared" si="9"/>
        <v>4138197.2277000011</v>
      </c>
      <c r="D32" s="850">
        <f t="shared" si="10"/>
        <v>226665.25452410258</v>
      </c>
      <c r="E32" s="850">
        <f t="shared" si="11"/>
        <v>100869.81417</v>
      </c>
      <c r="F32" s="851">
        <f t="shared" si="0"/>
        <v>4465732.2963941041</v>
      </c>
      <c r="G32" s="682">
        <v>2</v>
      </c>
      <c r="H32" s="852" t="s">
        <v>1</v>
      </c>
      <c r="I32" s="853">
        <f t="shared" si="12"/>
        <v>2232866.1481970521</v>
      </c>
      <c r="J32" s="910">
        <v>5.71</v>
      </c>
      <c r="K32" s="932">
        <v>6.15</v>
      </c>
      <c r="L32" s="929">
        <v>6.66</v>
      </c>
      <c r="M32" s="930">
        <v>2</v>
      </c>
      <c r="N32" s="895">
        <f t="shared" si="13"/>
        <v>0</v>
      </c>
    </row>
    <row r="33" spans="1:14" ht="27" customHeight="1" x14ac:dyDescent="0.2">
      <c r="A33" s="931">
        <v>907</v>
      </c>
      <c r="B33" s="864" t="s">
        <v>481</v>
      </c>
      <c r="C33" s="850">
        <f t="shared" si="9"/>
        <v>2886644.8954200004</v>
      </c>
      <c r="D33" s="850">
        <f t="shared" si="10"/>
        <v>158112.83608266668</v>
      </c>
      <c r="E33" s="850">
        <f t="shared" si="11"/>
        <v>70362.845981999984</v>
      </c>
      <c r="F33" s="851">
        <f t="shared" si="0"/>
        <v>3115120.5774846668</v>
      </c>
      <c r="G33" s="682">
        <v>2</v>
      </c>
      <c r="H33" s="852" t="s">
        <v>7</v>
      </c>
      <c r="I33" s="853">
        <f t="shared" si="12"/>
        <v>1557560.2887423334</v>
      </c>
      <c r="J33" s="910">
        <v>4.4400000000000004</v>
      </c>
      <c r="K33" s="932">
        <v>4.29</v>
      </c>
      <c r="L33" s="929">
        <v>4.29</v>
      </c>
      <c r="M33" s="930">
        <v>2</v>
      </c>
      <c r="N33" s="895">
        <f t="shared" si="13"/>
        <v>0</v>
      </c>
    </row>
    <row r="34" spans="1:14" ht="27" customHeight="1" x14ac:dyDescent="0.2">
      <c r="A34" s="931">
        <v>908</v>
      </c>
      <c r="B34" s="864" t="s">
        <v>42</v>
      </c>
      <c r="C34" s="850">
        <f t="shared" si="9"/>
        <v>4138197.2277000011</v>
      </c>
      <c r="D34" s="850">
        <f t="shared" si="10"/>
        <v>226665.25452410258</v>
      </c>
      <c r="E34" s="850">
        <f t="shared" si="11"/>
        <v>100869.81417</v>
      </c>
      <c r="F34" s="851">
        <f t="shared" si="0"/>
        <v>4465732.2963941041</v>
      </c>
      <c r="G34" s="682">
        <v>2</v>
      </c>
      <c r="H34" s="852" t="s">
        <v>1</v>
      </c>
      <c r="I34" s="853">
        <f t="shared" si="12"/>
        <v>2232866.1481970521</v>
      </c>
      <c r="J34" s="910">
        <v>5.71</v>
      </c>
      <c r="K34" s="932">
        <v>6.15</v>
      </c>
      <c r="L34" s="929">
        <v>6.66</v>
      </c>
      <c r="M34" s="930">
        <v>2</v>
      </c>
      <c r="N34" s="895">
        <f t="shared" si="13"/>
        <v>0</v>
      </c>
    </row>
    <row r="35" spans="1:14" ht="27" customHeight="1" x14ac:dyDescent="0.2">
      <c r="A35" s="931">
        <v>909</v>
      </c>
      <c r="B35" s="864" t="s">
        <v>482</v>
      </c>
      <c r="C35" s="850">
        <f t="shared" si="9"/>
        <v>5766561.0148600014</v>
      </c>
      <c r="D35" s="850">
        <f t="shared" si="10"/>
        <v>315857.11077586323</v>
      </c>
      <c r="E35" s="850">
        <f t="shared" si="11"/>
        <v>140561.67600599999</v>
      </c>
      <c r="F35" s="851">
        <f t="shared" si="0"/>
        <v>6222979.8016418638</v>
      </c>
      <c r="G35" s="682">
        <v>4</v>
      </c>
      <c r="H35" s="852" t="s">
        <v>1</v>
      </c>
      <c r="I35" s="853">
        <f t="shared" si="12"/>
        <v>1555744.9504104659</v>
      </c>
      <c r="J35" s="910">
        <v>8.9</v>
      </c>
      <c r="K35" s="932">
        <v>8.57</v>
      </c>
      <c r="L35" s="929">
        <v>10.71</v>
      </c>
      <c r="M35" s="930">
        <v>4</v>
      </c>
      <c r="N35" s="895">
        <f t="shared" si="13"/>
        <v>0</v>
      </c>
    </row>
    <row r="36" spans="1:14" ht="27" customHeight="1" x14ac:dyDescent="0.2">
      <c r="A36" s="256">
        <v>910</v>
      </c>
      <c r="B36" s="681" t="s">
        <v>415</v>
      </c>
      <c r="C36" s="850">
        <f t="shared" si="9"/>
        <v>2072463.0018400005</v>
      </c>
      <c r="D36" s="850">
        <f t="shared" si="10"/>
        <v>113516.90795678632</v>
      </c>
      <c r="E36" s="850">
        <f t="shared" si="11"/>
        <v>50516.915063999993</v>
      </c>
      <c r="F36" s="851">
        <f t="shared" si="0"/>
        <v>2236496.824860787</v>
      </c>
      <c r="G36" s="682">
        <v>1</v>
      </c>
      <c r="H36" s="852" t="s">
        <v>1</v>
      </c>
      <c r="I36" s="853">
        <f t="shared" si="12"/>
        <v>2236496.824860787</v>
      </c>
      <c r="J36" s="910">
        <v>5.71</v>
      </c>
      <c r="K36" s="932">
        <v>3.08</v>
      </c>
      <c r="L36" s="929">
        <v>6.66</v>
      </c>
      <c r="M36" s="930">
        <v>2</v>
      </c>
      <c r="N36" s="895">
        <f t="shared" si="13"/>
        <v>-1</v>
      </c>
    </row>
    <row r="37" spans="1:14" ht="27" customHeight="1" x14ac:dyDescent="0.2">
      <c r="A37" s="931">
        <v>911</v>
      </c>
      <c r="B37" s="864" t="s">
        <v>483</v>
      </c>
      <c r="C37" s="850">
        <f t="shared" si="9"/>
        <v>4326602.9551400002</v>
      </c>
      <c r="D37" s="850">
        <f t="shared" si="10"/>
        <v>236984.97342926494</v>
      </c>
      <c r="E37" s="850">
        <f t="shared" si="11"/>
        <v>105462.26099399998</v>
      </c>
      <c r="F37" s="851">
        <f t="shared" ref="F37:F53" si="14">SUM(C37:E37)</f>
        <v>4669050.1895632651</v>
      </c>
      <c r="G37" s="682">
        <v>3</v>
      </c>
      <c r="H37" s="852" t="s">
        <v>7</v>
      </c>
      <c r="I37" s="853">
        <f t="shared" si="12"/>
        <v>1556350.0631877549</v>
      </c>
      <c r="J37" s="910">
        <v>6.67</v>
      </c>
      <c r="K37" s="932">
        <v>6.43</v>
      </c>
      <c r="L37" s="929">
        <v>8.57</v>
      </c>
      <c r="M37" s="930">
        <v>3</v>
      </c>
      <c r="N37" s="895">
        <f t="shared" si="13"/>
        <v>0</v>
      </c>
    </row>
    <row r="38" spans="1:14" ht="27" customHeight="1" x14ac:dyDescent="0.2">
      <c r="A38" s="931">
        <v>912</v>
      </c>
      <c r="B38" s="864" t="s">
        <v>181</v>
      </c>
      <c r="C38" s="850">
        <f t="shared" si="9"/>
        <v>2072463.0018400005</v>
      </c>
      <c r="D38" s="850">
        <f t="shared" si="10"/>
        <v>113516.90795678632</v>
      </c>
      <c r="E38" s="850">
        <f t="shared" si="11"/>
        <v>50516.915063999993</v>
      </c>
      <c r="F38" s="851">
        <f t="shared" si="14"/>
        <v>2236496.824860787</v>
      </c>
      <c r="G38" s="682">
        <v>1</v>
      </c>
      <c r="H38" s="852" t="s">
        <v>1</v>
      </c>
      <c r="I38" s="853">
        <f t="shared" si="12"/>
        <v>2236496.824860787</v>
      </c>
      <c r="J38" s="910">
        <v>2.86</v>
      </c>
      <c r="K38" s="932">
        <v>3.08</v>
      </c>
      <c r="L38" s="929">
        <v>3.35</v>
      </c>
      <c r="M38" s="930">
        <v>1</v>
      </c>
      <c r="N38" s="895">
        <f t="shared" si="13"/>
        <v>0</v>
      </c>
    </row>
    <row r="39" spans="1:14" ht="27" customHeight="1" thickBot="1" x14ac:dyDescent="0.25">
      <c r="A39" s="931">
        <v>913</v>
      </c>
      <c r="B39" s="864" t="s">
        <v>565</v>
      </c>
      <c r="C39" s="850">
        <f t="shared" si="9"/>
        <v>4138197.2277000011</v>
      </c>
      <c r="D39" s="850">
        <f t="shared" si="10"/>
        <v>226665.25452410258</v>
      </c>
      <c r="E39" s="850">
        <f t="shared" si="11"/>
        <v>100869.81417</v>
      </c>
      <c r="F39" s="851">
        <f t="shared" si="14"/>
        <v>4465732.2963941041</v>
      </c>
      <c r="G39" s="682">
        <v>2</v>
      </c>
      <c r="H39" s="852" t="s">
        <v>1</v>
      </c>
      <c r="I39" s="853">
        <f t="shared" si="12"/>
        <v>2232866.1481970521</v>
      </c>
      <c r="J39" s="910">
        <v>5.71</v>
      </c>
      <c r="K39" s="932">
        <v>6.15</v>
      </c>
      <c r="L39" s="933">
        <v>6.66</v>
      </c>
      <c r="M39" s="934">
        <v>2</v>
      </c>
      <c r="N39" s="895">
        <f t="shared" si="13"/>
        <v>0</v>
      </c>
    </row>
    <row r="40" spans="1:14" ht="27" customHeight="1" thickBot="1" x14ac:dyDescent="0.25">
      <c r="A40" s="935">
        <v>914</v>
      </c>
      <c r="B40" s="936" t="s">
        <v>484</v>
      </c>
      <c r="C40" s="872">
        <f t="shared" si="9"/>
        <v>1439958.0597200003</v>
      </c>
      <c r="D40" s="872">
        <f t="shared" si="10"/>
        <v>78872.137346598291</v>
      </c>
      <c r="E40" s="872">
        <f t="shared" si="11"/>
        <v>35099.415011999998</v>
      </c>
      <c r="F40" s="873">
        <f t="shared" si="14"/>
        <v>1553929.6120785985</v>
      </c>
      <c r="G40" s="874">
        <v>1</v>
      </c>
      <c r="H40" s="875" t="s">
        <v>7</v>
      </c>
      <c r="I40" s="876">
        <f t="shared" si="12"/>
        <v>1553929.6120785985</v>
      </c>
      <c r="J40" s="915"/>
      <c r="K40" s="937">
        <v>2.14</v>
      </c>
      <c r="L40" s="866"/>
      <c r="M40" s="866"/>
      <c r="N40" s="895">
        <f t="shared" si="13"/>
        <v>1</v>
      </c>
    </row>
    <row r="41" spans="1:14" s="837" customFormat="1" ht="24" customHeight="1" x14ac:dyDescent="0.2">
      <c r="A41" s="816" t="s">
        <v>92</v>
      </c>
      <c r="B41" s="817"/>
      <c r="C41" s="880">
        <f>+'ต.2=กระจาย ต.1สู่ ต.2-ปี61'!B11+'ต.2=กระจาย ต.1สู่ ต.2-ปี61'!C11+'ต.2=กระจาย ต.1สู่ ต.2-ปี61'!D11+'ต.2=กระจาย ต.1สู่ ต.2-ปี61'!F11+'ต.2=กระจาย ต.1สู่ ต.2-ปี61'!G11+'ต.2=กระจาย ต.1สู่ ต.2-ปี61'!J11+'ต.2=กระจาย ต.1สู่ ต.2-ปี61'!M11+'ต.2=กระจาย ต.1สู่ ต.2-ปี61'!O11</f>
        <v>92541507.353170022</v>
      </c>
      <c r="D41" s="880">
        <f>+'ต.2=กระจาย ต.1สู่ ต.2-ปี61'!E11+'ต.2=กระจาย ต.1สู่ ต.2-ปี61'!K11+'ต.2=กระจาย ต.1สู่ ต.2-ปี61'!P11</f>
        <v>3789887.0271367519</v>
      </c>
      <c r="E41" s="880">
        <f>+'ต.2=กระจาย ต.1สู่ ต.2-ปี61'!I11+'ต.2=กระจาย ต.1สู่ ต.2-ปี61'!N11</f>
        <v>20401755.947142866</v>
      </c>
      <c r="F41" s="880">
        <f t="shared" si="14"/>
        <v>116733150.32744965</v>
      </c>
      <c r="G41" s="897"/>
      <c r="H41" s="898"/>
      <c r="I41" s="882"/>
      <c r="J41" s="883">
        <f>SUM(J42:J53)</f>
        <v>99.999999999999986</v>
      </c>
      <c r="K41" s="884">
        <f>SUM(K42:K53)</f>
        <v>99.999999999999986</v>
      </c>
      <c r="L41" s="885">
        <f>SUM(L42:L52)</f>
        <v>99.999999999999986</v>
      </c>
      <c r="M41" s="836"/>
    </row>
    <row r="42" spans="1:14" ht="23.25" customHeight="1" x14ac:dyDescent="0.5">
      <c r="A42" s="838">
        <v>700</v>
      </c>
      <c r="B42" s="938" t="s">
        <v>151</v>
      </c>
      <c r="C42" s="840">
        <f t="shared" ref="C42:C53" si="15">+$C$41*K42/100</f>
        <v>27631032.31385183</v>
      </c>
      <c r="D42" s="840">
        <f t="shared" ref="D42:D53" si="16">+$D$41*K42/100</f>
        <v>1131584.0200551508</v>
      </c>
      <c r="E42" s="840">
        <f t="shared" ref="E42:E53" si="17">+$E$41*K42/100</f>
        <v>6091553.876288929</v>
      </c>
      <c r="F42" s="841">
        <f t="shared" si="14"/>
        <v>34854170.210195914</v>
      </c>
      <c r="G42" s="842">
        <v>50</v>
      </c>
      <c r="H42" s="843" t="s">
        <v>7</v>
      </c>
      <c r="I42" s="844">
        <f t="shared" ref="I42:I53" si="18">+F42/G42</f>
        <v>697083.4042039183</v>
      </c>
      <c r="J42" s="939">
        <v>29.857988165680471</v>
      </c>
      <c r="K42" s="940">
        <v>29.857988165680471</v>
      </c>
      <c r="L42" s="941">
        <v>31.814371257485028</v>
      </c>
      <c r="M42" s="942"/>
    </row>
    <row r="43" spans="1:14" ht="23.25" customHeight="1" x14ac:dyDescent="0.5">
      <c r="A43" s="848">
        <v>701</v>
      </c>
      <c r="B43" s="943" t="s">
        <v>152</v>
      </c>
      <c r="C43" s="850">
        <f t="shared" si="15"/>
        <v>1505852.9303030625</v>
      </c>
      <c r="D43" s="850">
        <f t="shared" si="16"/>
        <v>61669.759317314012</v>
      </c>
      <c r="E43" s="850">
        <f t="shared" si="17"/>
        <v>331981.23582628922</v>
      </c>
      <c r="F43" s="851">
        <f t="shared" si="14"/>
        <v>1899503.9254466658</v>
      </c>
      <c r="G43" s="682">
        <v>10</v>
      </c>
      <c r="H43" s="852" t="s">
        <v>28</v>
      </c>
      <c r="I43" s="853">
        <f t="shared" si="18"/>
        <v>189950.3925446666</v>
      </c>
      <c r="J43" s="944">
        <v>1.6272189349112427</v>
      </c>
      <c r="K43" s="945">
        <v>1.6272189349112427</v>
      </c>
      <c r="L43" s="941">
        <v>1.8682634730538921</v>
      </c>
      <c r="M43" s="942"/>
    </row>
    <row r="44" spans="1:14" ht="23.25" customHeight="1" x14ac:dyDescent="0.5">
      <c r="A44" s="848">
        <v>702</v>
      </c>
      <c r="B44" s="943" t="s">
        <v>153</v>
      </c>
      <c r="C44" s="850">
        <f t="shared" si="15"/>
        <v>520203.73955923977</v>
      </c>
      <c r="D44" s="850">
        <f t="shared" si="16"/>
        <v>21304.098673253931</v>
      </c>
      <c r="E44" s="850">
        <f t="shared" si="17"/>
        <v>114684.426921809</v>
      </c>
      <c r="F44" s="851">
        <f t="shared" si="14"/>
        <v>656192.2651543027</v>
      </c>
      <c r="G44" s="682">
        <v>10</v>
      </c>
      <c r="H44" s="852" t="s">
        <v>28</v>
      </c>
      <c r="I44" s="853">
        <f t="shared" si="18"/>
        <v>65619.226515430273</v>
      </c>
      <c r="J44" s="944">
        <v>0.56213017751479288</v>
      </c>
      <c r="K44" s="945">
        <v>0.56213017751479288</v>
      </c>
      <c r="L44" s="941">
        <v>0.44910179640718562</v>
      </c>
      <c r="M44" s="942"/>
    </row>
    <row r="45" spans="1:14" ht="23.25" customHeight="1" x14ac:dyDescent="0.5">
      <c r="A45" s="848">
        <v>703</v>
      </c>
      <c r="B45" s="943" t="s">
        <v>490</v>
      </c>
      <c r="C45" s="850">
        <f t="shared" si="15"/>
        <v>10979036.81911869</v>
      </c>
      <c r="D45" s="850">
        <f t="shared" si="16"/>
        <v>449628.60884078033</v>
      </c>
      <c r="E45" s="850">
        <f t="shared" si="17"/>
        <v>2420445.0102971266</v>
      </c>
      <c r="F45" s="851">
        <f t="shared" si="14"/>
        <v>13849110.438256597</v>
      </c>
      <c r="G45" s="682">
        <v>220</v>
      </c>
      <c r="H45" s="852" t="s">
        <v>7</v>
      </c>
      <c r="I45" s="853">
        <f t="shared" si="18"/>
        <v>62950.501992075442</v>
      </c>
      <c r="J45" s="944">
        <v>11.863905325443787</v>
      </c>
      <c r="K45" s="945">
        <v>11.863905325443787</v>
      </c>
      <c r="L45" s="941">
        <v>11.976047904191617</v>
      </c>
      <c r="M45" s="942"/>
    </row>
    <row r="46" spans="1:14" ht="23.25" customHeight="1" x14ac:dyDescent="0.5">
      <c r="A46" s="848">
        <v>704</v>
      </c>
      <c r="B46" s="943" t="s">
        <v>155</v>
      </c>
      <c r="C46" s="850">
        <f t="shared" si="15"/>
        <v>9746975.3306889124</v>
      </c>
      <c r="D46" s="850">
        <f t="shared" si="16"/>
        <v>399171.53303570522</v>
      </c>
      <c r="E46" s="850">
        <f t="shared" si="17"/>
        <v>2148823.9991665264</v>
      </c>
      <c r="F46" s="851">
        <f t="shared" si="14"/>
        <v>12294970.862891143</v>
      </c>
      <c r="G46" s="682">
        <v>6</v>
      </c>
      <c r="H46" s="852" t="s">
        <v>28</v>
      </c>
      <c r="I46" s="853">
        <f t="shared" si="18"/>
        <v>2049161.8104818573</v>
      </c>
      <c r="J46" s="944">
        <v>10.532544378698224</v>
      </c>
      <c r="K46" s="945">
        <v>10.532544378698224</v>
      </c>
      <c r="L46" s="941">
        <v>10.26946107784431</v>
      </c>
      <c r="M46" s="942"/>
    </row>
    <row r="47" spans="1:14" ht="23.25" customHeight="1" x14ac:dyDescent="0.5">
      <c r="A47" s="848">
        <v>705</v>
      </c>
      <c r="B47" s="943" t="s">
        <v>156</v>
      </c>
      <c r="C47" s="850">
        <f t="shared" si="15"/>
        <v>9582700.4655649439</v>
      </c>
      <c r="D47" s="850">
        <f t="shared" si="16"/>
        <v>392443.92292836192</v>
      </c>
      <c r="E47" s="850">
        <f t="shared" si="17"/>
        <v>2112607.8643491133</v>
      </c>
      <c r="F47" s="851">
        <f t="shared" si="14"/>
        <v>12087752.252842419</v>
      </c>
      <c r="G47" s="682">
        <v>77</v>
      </c>
      <c r="H47" s="852" t="s">
        <v>8</v>
      </c>
      <c r="I47" s="853">
        <f t="shared" si="18"/>
        <v>156983.79549145998</v>
      </c>
      <c r="J47" s="944">
        <v>10.355029585798817</v>
      </c>
      <c r="K47" s="945">
        <v>10.355029585798817</v>
      </c>
      <c r="L47" s="941">
        <v>10.347305389221557</v>
      </c>
      <c r="M47" s="942"/>
    </row>
    <row r="48" spans="1:14" ht="23.25" customHeight="1" x14ac:dyDescent="0.5">
      <c r="A48" s="848">
        <v>706</v>
      </c>
      <c r="B48" s="864" t="s">
        <v>485</v>
      </c>
      <c r="C48" s="850">
        <f t="shared" si="15"/>
        <v>7009060.9119560728</v>
      </c>
      <c r="D48" s="850">
        <f t="shared" si="16"/>
        <v>287044.69791331614</v>
      </c>
      <c r="E48" s="850">
        <f t="shared" si="17"/>
        <v>1545221.7522096371</v>
      </c>
      <c r="F48" s="851">
        <f t="shared" si="14"/>
        <v>8841327.3620790262</v>
      </c>
      <c r="G48" s="682">
        <v>77</v>
      </c>
      <c r="H48" s="852" t="s">
        <v>8</v>
      </c>
      <c r="I48" s="853">
        <f t="shared" si="18"/>
        <v>114822.43327375359</v>
      </c>
      <c r="J48" s="944">
        <v>7.5739644970414206</v>
      </c>
      <c r="K48" s="945">
        <v>7.5739644970414206</v>
      </c>
      <c r="L48" s="941">
        <v>7.2155688622754495</v>
      </c>
      <c r="M48" s="942"/>
    </row>
    <row r="49" spans="1:13" ht="23.25" customHeight="1" x14ac:dyDescent="0.5">
      <c r="A49" s="848">
        <v>707</v>
      </c>
      <c r="B49" s="943" t="s">
        <v>158</v>
      </c>
      <c r="C49" s="850">
        <f t="shared" si="15"/>
        <v>9506038.8618404251</v>
      </c>
      <c r="D49" s="850">
        <f t="shared" si="16"/>
        <v>389304.37154493504</v>
      </c>
      <c r="E49" s="850">
        <f t="shared" si="17"/>
        <v>2095707.0014343206</v>
      </c>
      <c r="F49" s="851">
        <f t="shared" si="14"/>
        <v>11991050.23481968</v>
      </c>
      <c r="G49" s="682">
        <v>15</v>
      </c>
      <c r="H49" s="852" t="s">
        <v>9</v>
      </c>
      <c r="I49" s="853">
        <f t="shared" si="18"/>
        <v>799403.34898797865</v>
      </c>
      <c r="J49" s="944">
        <v>10.272189349112427</v>
      </c>
      <c r="K49" s="945">
        <v>10.272189349112427</v>
      </c>
      <c r="L49" s="941">
        <v>10.730538922155688</v>
      </c>
      <c r="M49" s="942"/>
    </row>
    <row r="50" spans="1:13" ht="23.25" customHeight="1" x14ac:dyDescent="0.5">
      <c r="A50" s="848">
        <v>708</v>
      </c>
      <c r="B50" s="864" t="s">
        <v>450</v>
      </c>
      <c r="C50" s="850">
        <f t="shared" si="15"/>
        <v>6351961.451460191</v>
      </c>
      <c r="D50" s="850">
        <f t="shared" si="16"/>
        <v>260134.25748394273</v>
      </c>
      <c r="E50" s="850">
        <f t="shared" si="17"/>
        <v>1400357.2129399837</v>
      </c>
      <c r="F50" s="851">
        <f t="shared" si="14"/>
        <v>8012452.9218841176</v>
      </c>
      <c r="G50" s="682">
        <v>657</v>
      </c>
      <c r="H50" s="852" t="s">
        <v>160</v>
      </c>
      <c r="I50" s="853">
        <f t="shared" si="18"/>
        <v>12195.514340767302</v>
      </c>
      <c r="J50" s="944">
        <v>6.8639053254437865</v>
      </c>
      <c r="K50" s="945">
        <v>6.8639053254437865</v>
      </c>
      <c r="L50" s="941">
        <v>6.7305389221556888</v>
      </c>
      <c r="M50" s="942"/>
    </row>
    <row r="51" spans="1:13" ht="23.25" customHeight="1" x14ac:dyDescent="0.5">
      <c r="A51" s="848">
        <v>709</v>
      </c>
      <c r="B51" s="864" t="s">
        <v>449</v>
      </c>
      <c r="C51" s="850">
        <f t="shared" si="15"/>
        <v>7113101.6598679209</v>
      </c>
      <c r="D51" s="850">
        <f t="shared" si="16"/>
        <v>291305.51764796692</v>
      </c>
      <c r="E51" s="850">
        <f t="shared" si="17"/>
        <v>1568158.6375939993</v>
      </c>
      <c r="F51" s="851">
        <f t="shared" si="14"/>
        <v>8972565.8151098862</v>
      </c>
      <c r="G51" s="682">
        <v>1</v>
      </c>
      <c r="H51" s="852" t="s">
        <v>6</v>
      </c>
      <c r="I51" s="853">
        <f t="shared" si="18"/>
        <v>8972565.8151098862</v>
      </c>
      <c r="J51" s="944">
        <v>7.6863905325443795</v>
      </c>
      <c r="K51" s="945">
        <v>7.6863905325443795</v>
      </c>
      <c r="L51" s="941">
        <v>7.3113772455089823</v>
      </c>
      <c r="M51" s="942"/>
    </row>
    <row r="52" spans="1:13" ht="23.25" customHeight="1" x14ac:dyDescent="0.5">
      <c r="A52" s="946">
        <v>506</v>
      </c>
      <c r="B52" s="864" t="s">
        <v>486</v>
      </c>
      <c r="C52" s="850">
        <f t="shared" si="15"/>
        <v>1199206.5154049841</v>
      </c>
      <c r="D52" s="850">
        <f t="shared" si="16"/>
        <v>49111.553783606432</v>
      </c>
      <c r="E52" s="850">
        <f t="shared" si="17"/>
        <v>264377.78416711761</v>
      </c>
      <c r="F52" s="851">
        <f t="shared" si="14"/>
        <v>1512695.8533557083</v>
      </c>
      <c r="G52" s="682">
        <v>882</v>
      </c>
      <c r="H52" s="852" t="s">
        <v>325</v>
      </c>
      <c r="I52" s="853">
        <f t="shared" si="18"/>
        <v>1715.0746636686035</v>
      </c>
      <c r="J52" s="944">
        <v>1.2958579881656804</v>
      </c>
      <c r="K52" s="945">
        <v>1.2958579881656804</v>
      </c>
      <c r="L52" s="941">
        <v>1.2874251497005988</v>
      </c>
      <c r="M52" s="942"/>
    </row>
    <row r="53" spans="1:13" ht="23.25" customHeight="1" thickBot="1" x14ac:dyDescent="0.55000000000000004">
      <c r="A53" s="848">
        <v>710</v>
      </c>
      <c r="B53" s="943" t="s">
        <v>221</v>
      </c>
      <c r="C53" s="850">
        <f t="shared" si="15"/>
        <v>1396336.3535537487</v>
      </c>
      <c r="D53" s="850">
        <f t="shared" si="16"/>
        <v>57184.685912418441</v>
      </c>
      <c r="E53" s="850">
        <f t="shared" si="17"/>
        <v>307837.14594801364</v>
      </c>
      <c r="F53" s="851">
        <f t="shared" si="14"/>
        <v>1761358.1854141806</v>
      </c>
      <c r="G53" s="682">
        <v>1</v>
      </c>
      <c r="H53" s="852" t="s">
        <v>6</v>
      </c>
      <c r="I53" s="853">
        <f t="shared" si="18"/>
        <v>1761358.1854141806</v>
      </c>
      <c r="J53" s="944">
        <v>1.5088757396449703</v>
      </c>
      <c r="K53" s="945">
        <v>1.5088757396449703</v>
      </c>
      <c r="L53" s="941"/>
      <c r="M53" s="942"/>
    </row>
    <row r="54" spans="1:13" ht="24.75" customHeight="1" x14ac:dyDescent="0.2">
      <c r="A54" s="947" t="s">
        <v>93</v>
      </c>
      <c r="B54" s="879"/>
      <c r="C54" s="880">
        <f>+'ต.2=กระจาย ต.1สู่ ต.2-ปี61'!B12+'ต.2=กระจาย ต.1สู่ ต.2-ปี61'!C12+'ต.2=กระจาย ต.1สู่ ต.2-ปี61'!D12+'ต.2=กระจาย ต.1สู่ ต.2-ปี61'!F12+'ต.2=กระจาย ต.1สู่ ต.2-ปี61'!G12+'ต.2=กระจาย ต.1สู่ ต.2-ปี61'!J12+'ต.2=กระจาย ต.1สู่ ต.2-ปี61'!M12+'ต.2=กระจาย ต.1สู่ ต.2-ปี61'!O12</f>
        <v>47930482.770000011</v>
      </c>
      <c r="D54" s="880">
        <f>+'ต.2=กระจาย ต.1สู่ ต.2-ปี61'!E12+'ต.2=กระจาย ต.1สู่ ต.2-ปี61'!K12+'ต.2=กระจาย ต.1สู่ ต.2-ปี61'!P12</f>
        <v>2565065.727094017</v>
      </c>
      <c r="E54" s="880">
        <f>+'ต.2=กระจาย ต.1สู่ ต.2-ปี61'!I12+'ต.2=กระจาย ต.1สู่ ต.2-ปี61'!N12</f>
        <v>1525842.2300000004</v>
      </c>
      <c r="F54" s="880">
        <f t="shared" ref="F54:F82" si="19">SUM(C54:E54)</f>
        <v>52021390.727094024</v>
      </c>
      <c r="G54" s="897"/>
      <c r="H54" s="820"/>
      <c r="I54" s="948"/>
      <c r="J54" s="883">
        <f>SUM(J55:J61)</f>
        <v>100.00000000000001</v>
      </c>
      <c r="K54" s="884">
        <f>SUM(K55:K61)</f>
        <v>100.00000000000001</v>
      </c>
      <c r="L54" s="949">
        <f>SUM(L55:L61)</f>
        <v>100</v>
      </c>
      <c r="M54" s="836"/>
    </row>
    <row r="55" spans="1:13" ht="23.25" customHeight="1" x14ac:dyDescent="0.2">
      <c r="A55" s="838">
        <v>600</v>
      </c>
      <c r="B55" s="926" t="s">
        <v>147</v>
      </c>
      <c r="C55" s="840">
        <f t="shared" ref="C55:C61" si="20">+$C$54*K55/100</f>
        <v>19785703.287456006</v>
      </c>
      <c r="D55" s="840">
        <f t="shared" ref="D55:D61" si="21">+$D$54*K55/100</f>
        <v>1058859.1321444102</v>
      </c>
      <c r="E55" s="840">
        <f t="shared" ref="E55:E61" si="22">+$E$54*K55/100</f>
        <v>629867.6725440002</v>
      </c>
      <c r="F55" s="841">
        <f t="shared" si="19"/>
        <v>21474430.092144415</v>
      </c>
      <c r="G55" s="950">
        <v>21</v>
      </c>
      <c r="H55" s="843" t="s">
        <v>1</v>
      </c>
      <c r="I55" s="844">
        <f t="shared" ref="I55:I61" si="23">+F55/G55</f>
        <v>1022591.9091497341</v>
      </c>
      <c r="J55" s="927">
        <v>41.28</v>
      </c>
      <c r="K55" s="951">
        <v>41.28</v>
      </c>
      <c r="L55" s="865">
        <v>42.5</v>
      </c>
      <c r="M55" s="866">
        <v>41.28</v>
      </c>
    </row>
    <row r="56" spans="1:13" x14ac:dyDescent="0.2">
      <c r="A56" s="848">
        <v>601</v>
      </c>
      <c r="B56" s="864" t="s">
        <v>148</v>
      </c>
      <c r="C56" s="850">
        <f t="shared" si="20"/>
        <v>13756048.554990003</v>
      </c>
      <c r="D56" s="850">
        <f t="shared" si="21"/>
        <v>736173.86367598281</v>
      </c>
      <c r="E56" s="850">
        <f t="shared" si="22"/>
        <v>437916.72001000011</v>
      </c>
      <c r="F56" s="851">
        <f t="shared" si="19"/>
        <v>14930139.138675986</v>
      </c>
      <c r="G56" s="952">
        <v>10</v>
      </c>
      <c r="H56" s="852" t="s">
        <v>1</v>
      </c>
      <c r="I56" s="853">
        <f t="shared" si="23"/>
        <v>1493013.9138675986</v>
      </c>
      <c r="J56" s="910">
        <v>28.7</v>
      </c>
      <c r="K56" s="911">
        <v>28.7</v>
      </c>
      <c r="L56" s="865">
        <v>20</v>
      </c>
      <c r="M56" s="866">
        <v>28.7</v>
      </c>
    </row>
    <row r="57" spans="1:13" ht="23.25" customHeight="1" x14ac:dyDescent="0.2">
      <c r="A57" s="848">
        <v>602</v>
      </c>
      <c r="B57" s="864" t="s">
        <v>149</v>
      </c>
      <c r="C57" s="850">
        <f t="shared" si="20"/>
        <v>4304157.3527460005</v>
      </c>
      <c r="D57" s="850">
        <f t="shared" si="21"/>
        <v>230342.90229304272</v>
      </c>
      <c r="E57" s="850">
        <f t="shared" si="22"/>
        <v>137020.63225400005</v>
      </c>
      <c r="F57" s="851">
        <f t="shared" si="19"/>
        <v>4671520.8872930426</v>
      </c>
      <c r="G57" s="952">
        <v>3</v>
      </c>
      <c r="H57" s="852" t="s">
        <v>1</v>
      </c>
      <c r="I57" s="853">
        <f t="shared" si="23"/>
        <v>1557173.6290976808</v>
      </c>
      <c r="J57" s="910">
        <v>8.98</v>
      </c>
      <c r="K57" s="911">
        <v>8.98</v>
      </c>
      <c r="L57" s="865">
        <v>7.5</v>
      </c>
      <c r="M57" s="866">
        <v>8.98</v>
      </c>
    </row>
    <row r="58" spans="1:13" ht="23.25" customHeight="1" thickBot="1" x14ac:dyDescent="0.55000000000000004">
      <c r="A58" s="953">
        <v>603</v>
      </c>
      <c r="B58" s="864" t="s">
        <v>430</v>
      </c>
      <c r="C58" s="850">
        <f t="shared" si="20"/>
        <v>4294571.2561920015</v>
      </c>
      <c r="D58" s="850">
        <f t="shared" si="21"/>
        <v>229829.88914762394</v>
      </c>
      <c r="E58" s="850">
        <f t="shared" si="22"/>
        <v>136715.46380800006</v>
      </c>
      <c r="F58" s="851">
        <f t="shared" si="19"/>
        <v>4661116.609147626</v>
      </c>
      <c r="G58" s="954">
        <v>3</v>
      </c>
      <c r="H58" s="852" t="s">
        <v>1</v>
      </c>
      <c r="I58" s="853">
        <f t="shared" si="23"/>
        <v>1553705.536382542</v>
      </c>
      <c r="J58" s="910">
        <v>8.9600000000000009</v>
      </c>
      <c r="K58" s="911">
        <v>8.9600000000000009</v>
      </c>
      <c r="L58" s="955">
        <v>30</v>
      </c>
      <c r="M58" s="866">
        <v>8.9600000000000009</v>
      </c>
    </row>
    <row r="59" spans="1:13" ht="23.25" customHeight="1" x14ac:dyDescent="0.5">
      <c r="A59" s="863">
        <v>604</v>
      </c>
      <c r="B59" s="864" t="s">
        <v>487</v>
      </c>
      <c r="C59" s="850">
        <f t="shared" si="20"/>
        <v>3844024.7181540006</v>
      </c>
      <c r="D59" s="850">
        <f t="shared" si="21"/>
        <v>205718.27131294017</v>
      </c>
      <c r="E59" s="850">
        <f t="shared" si="22"/>
        <v>122372.54684600003</v>
      </c>
      <c r="F59" s="851">
        <f t="shared" si="19"/>
        <v>4172115.536312941</v>
      </c>
      <c r="G59" s="952">
        <v>1</v>
      </c>
      <c r="H59" s="852" t="s">
        <v>1</v>
      </c>
      <c r="I59" s="853">
        <f t="shared" si="23"/>
        <v>4172115.536312941</v>
      </c>
      <c r="J59" s="910">
        <v>8.02</v>
      </c>
      <c r="K59" s="911">
        <v>8.02</v>
      </c>
      <c r="L59" s="956"/>
      <c r="M59" s="866">
        <v>3.17</v>
      </c>
    </row>
    <row r="60" spans="1:13" ht="23.25" customHeight="1" x14ac:dyDescent="0.5">
      <c r="A60" s="953">
        <v>605</v>
      </c>
      <c r="B60" s="864" t="s">
        <v>488</v>
      </c>
      <c r="C60" s="850">
        <f t="shared" si="20"/>
        <v>972988.80023100018</v>
      </c>
      <c r="D60" s="850">
        <f t="shared" si="21"/>
        <v>52070.834260008538</v>
      </c>
      <c r="E60" s="850">
        <f t="shared" si="22"/>
        <v>30974.597269000005</v>
      </c>
      <c r="F60" s="851">
        <f t="shared" si="19"/>
        <v>1056034.2317600087</v>
      </c>
      <c r="G60" s="952">
        <v>1</v>
      </c>
      <c r="H60" s="852" t="s">
        <v>1</v>
      </c>
      <c r="I60" s="853">
        <f t="shared" si="23"/>
        <v>1056034.2317600087</v>
      </c>
      <c r="J60" s="910">
        <v>2.0299999999999998</v>
      </c>
      <c r="K60" s="911">
        <v>2.0299999999999998</v>
      </c>
      <c r="L60" s="956"/>
      <c r="M60" s="866">
        <v>6.36</v>
      </c>
    </row>
    <row r="61" spans="1:13" ht="23.25" customHeight="1" thickBot="1" x14ac:dyDescent="0.55000000000000004">
      <c r="A61" s="870">
        <v>606</v>
      </c>
      <c r="B61" s="871" t="s">
        <v>489</v>
      </c>
      <c r="C61" s="872">
        <f t="shared" si="20"/>
        <v>972988.80023100018</v>
      </c>
      <c r="D61" s="872">
        <f t="shared" si="21"/>
        <v>52070.834260008538</v>
      </c>
      <c r="E61" s="872">
        <f t="shared" si="22"/>
        <v>30974.597269000005</v>
      </c>
      <c r="F61" s="873">
        <f t="shared" si="19"/>
        <v>1056034.2317600087</v>
      </c>
      <c r="G61" s="957">
        <v>1</v>
      </c>
      <c r="H61" s="875" t="s">
        <v>1</v>
      </c>
      <c r="I61" s="876">
        <f t="shared" si="23"/>
        <v>1056034.2317600087</v>
      </c>
      <c r="J61" s="915">
        <v>2.0299999999999998</v>
      </c>
      <c r="K61" s="878">
        <v>2.0299999999999998</v>
      </c>
      <c r="L61" s="956"/>
      <c r="M61" s="866">
        <v>2.5499999999999998</v>
      </c>
    </row>
    <row r="62" spans="1:13" x14ac:dyDescent="0.2">
      <c r="A62" s="896" t="s">
        <v>253</v>
      </c>
      <c r="B62" s="879"/>
      <c r="C62" s="880">
        <f>+'ต.2=กระจาย ต.1สู่ ต.2-ปี61'!B13+'ต.2=กระจาย ต.1สู่ ต.2-ปี61'!C13+'ต.2=กระจาย ต.1สู่ ต.2-ปี61'!D13+'ต.2=กระจาย ต.1สู่ ต.2-ปี61'!F13+'ต.2=กระจาย ต.1สู่ ต.2-ปี61'!G13+'ต.2=กระจาย ต.1สู่ ต.2-ปี61'!H13+'ต.2=กระจาย ต.1สู่ ต.2-ปี61'!J13+'ต.2=กระจาย ต.1สู่ ต.2-ปี61'!M13+'ต.2=กระจาย ต.1สู่ ต.2-ปี61'!O13</f>
        <v>226602965.49999997</v>
      </c>
      <c r="D62" s="880">
        <f>+'ต.2=กระจาย ต.1สู่ ต.2-ปี61'!E13+'ต.2=กระจาย ต.1สู่ ต.2-ปี61'!K13+'ต.2=กระจาย ต.1สู่ ต.2-ปี61'!P13</f>
        <v>12257740.130299143</v>
      </c>
      <c r="E62" s="880">
        <f>+'ต.2=กระจาย ต.1สู่ ต.2-ปี61'!I13+'ต.2=กระจาย ต.1สู่ ต.2-ปี61'!N13</f>
        <v>11206166.890000001</v>
      </c>
      <c r="F62" s="880">
        <f t="shared" si="19"/>
        <v>250066872.52029914</v>
      </c>
      <c r="G62" s="897"/>
      <c r="H62" s="958"/>
      <c r="I62" s="948"/>
      <c r="J62" s="883">
        <f>SUM(J63:J66)</f>
        <v>100</v>
      </c>
      <c r="K62" s="884">
        <f>SUM(K63:K66)</f>
        <v>100</v>
      </c>
      <c r="L62" s="885">
        <f>SUM(L63:L66)</f>
        <v>100</v>
      </c>
      <c r="M62" s="836"/>
    </row>
    <row r="63" spans="1:13" x14ac:dyDescent="0.2">
      <c r="A63" s="959">
        <v>400</v>
      </c>
      <c r="B63" s="960" t="s">
        <v>2</v>
      </c>
      <c r="C63" s="840">
        <f>+$C$62*K63/100</f>
        <v>33990444.824999996</v>
      </c>
      <c r="D63" s="840">
        <f>+$D$62*K63/100</f>
        <v>1838661.0195448715</v>
      </c>
      <c r="E63" s="840">
        <f>+$E$62*K63/100</f>
        <v>1680925.0335000001</v>
      </c>
      <c r="F63" s="961">
        <f t="shared" si="19"/>
        <v>37510030.878044866</v>
      </c>
      <c r="G63" s="842">
        <v>18</v>
      </c>
      <c r="H63" s="843" t="s">
        <v>1</v>
      </c>
      <c r="I63" s="844">
        <f>+F63/G63</f>
        <v>2083890.6043358259</v>
      </c>
      <c r="J63" s="927">
        <v>15</v>
      </c>
      <c r="K63" s="951">
        <v>15</v>
      </c>
      <c r="L63" s="865">
        <v>15</v>
      </c>
      <c r="M63" s="866">
        <v>21.100917431192659</v>
      </c>
    </row>
    <row r="64" spans="1:13" ht="23.25" customHeight="1" x14ac:dyDescent="0.2">
      <c r="A64" s="838">
        <v>401</v>
      </c>
      <c r="B64" s="962" t="s">
        <v>3</v>
      </c>
      <c r="C64" s="902">
        <f>+$C$62*K64/100</f>
        <v>22660296.549999997</v>
      </c>
      <c r="D64" s="902">
        <f>+$D$62*K64/100</f>
        <v>1225774.0130299143</v>
      </c>
      <c r="E64" s="902">
        <f>+$E$62*K64/100</f>
        <v>1120616.689</v>
      </c>
      <c r="F64" s="963">
        <f t="shared" si="19"/>
        <v>25006687.252029911</v>
      </c>
      <c r="G64" s="904">
        <v>12</v>
      </c>
      <c r="H64" s="905" t="s">
        <v>1</v>
      </c>
      <c r="I64" s="906">
        <f>+F64/G64</f>
        <v>2083890.6043358259</v>
      </c>
      <c r="J64" s="907">
        <v>10</v>
      </c>
      <c r="K64" s="908">
        <v>10</v>
      </c>
      <c r="L64" s="865">
        <v>10</v>
      </c>
      <c r="M64" s="866">
        <v>15.688073394495413</v>
      </c>
    </row>
    <row r="65" spans="1:15" ht="23.25" customHeight="1" x14ac:dyDescent="0.2">
      <c r="A65" s="848">
        <v>402</v>
      </c>
      <c r="B65" s="856" t="s">
        <v>4</v>
      </c>
      <c r="C65" s="850">
        <f>+$C$62*K65/100</f>
        <v>135961779.29999998</v>
      </c>
      <c r="D65" s="850">
        <f>+$D$62*K65/100</f>
        <v>7354644.0781794861</v>
      </c>
      <c r="E65" s="850">
        <f>+$E$62*K65/100</f>
        <v>6723700.1340000005</v>
      </c>
      <c r="F65" s="964">
        <f t="shared" si="19"/>
        <v>150040123.51217946</v>
      </c>
      <c r="G65" s="682">
        <v>5</v>
      </c>
      <c r="H65" s="852" t="s">
        <v>6</v>
      </c>
      <c r="I65" s="853">
        <f>+F65/G65</f>
        <v>30008024.702435892</v>
      </c>
      <c r="J65" s="910">
        <v>60</v>
      </c>
      <c r="K65" s="911">
        <v>60</v>
      </c>
      <c r="L65" s="865">
        <v>60</v>
      </c>
      <c r="M65" s="866">
        <v>46.238532110091747</v>
      </c>
    </row>
    <row r="66" spans="1:15" ht="26.25" customHeight="1" thickBot="1" x14ac:dyDescent="0.25">
      <c r="A66" s="965">
        <v>403</v>
      </c>
      <c r="B66" s="966" t="s">
        <v>5</v>
      </c>
      <c r="C66" s="872">
        <f>+$C$62*K66/100</f>
        <v>33990444.824999996</v>
      </c>
      <c r="D66" s="872">
        <f>+$D$62*K66/100</f>
        <v>1838661.0195448715</v>
      </c>
      <c r="E66" s="872">
        <f>+$E$62*K66/100</f>
        <v>1680925.0335000001</v>
      </c>
      <c r="F66" s="967">
        <f t="shared" si="19"/>
        <v>37510030.878044866</v>
      </c>
      <c r="G66" s="874">
        <v>36</v>
      </c>
      <c r="H66" s="875" t="s">
        <v>1</v>
      </c>
      <c r="I66" s="876">
        <f>+F66/G66</f>
        <v>1041945.3021679129</v>
      </c>
      <c r="J66" s="915">
        <v>15</v>
      </c>
      <c r="K66" s="878">
        <v>15</v>
      </c>
      <c r="L66" s="955">
        <v>15</v>
      </c>
      <c r="M66" s="866">
        <v>16.972477064220183</v>
      </c>
      <c r="N66" s="826" t="s">
        <v>453</v>
      </c>
      <c r="O66" s="826" t="s">
        <v>454</v>
      </c>
    </row>
    <row r="67" spans="1:15" ht="24" customHeight="1" x14ac:dyDescent="0.2">
      <c r="A67" s="816" t="s">
        <v>82</v>
      </c>
      <c r="B67" s="817"/>
      <c r="C67" s="880">
        <f>+'ต.2=กระจาย ต.1สู่ ต.2-ปี61'!B27+'ต.2=กระจาย ต.1สู่ ต.2-ปี61'!C27+'ต.2=กระจาย ต.1สู่ ต.2-ปี61'!D27+'ต.2=กระจาย ต.1สู่ ต.2-ปี61'!F27+'ต.2=กระจาย ต.1สู่ ต.2-ปี61'!G27+'ต.2=กระจาย ต.1สู่ ต.2-ปี61'!H27+'ต.2=กระจาย ต.1สู่ ต.2-ปี61'!J27+'ต.2=กระจาย ต.1สู่ ต.2-ปี61'!M27+'ต.2=กระจาย ต.1สู่ ต.2-ปี61'!O27</f>
        <v>76545395.615703061</v>
      </c>
      <c r="D67" s="880">
        <f>+'ต.2=กระจาย ต.1สู่ ต.2-ปี61'!E27+'ต.2=กระจาย ต.1สู่ ต.2-ปี61'!K27+'ต.2=กระจาย ต.1สู่ ต.2-ปี61'!P27</f>
        <v>14419010.197393164</v>
      </c>
      <c r="E67" s="880">
        <f>+'ต.2=กระจาย ต.1สู่ ต.2-ปี61'!I27+'ต.2=กระจาย ต.1สู่ ต.2-ปี61'!N27</f>
        <v>6990401.8500000006</v>
      </c>
      <c r="F67" s="880">
        <f t="shared" si="19"/>
        <v>97954807.663096219</v>
      </c>
      <c r="G67" s="897"/>
      <c r="H67" s="898"/>
      <c r="I67" s="882"/>
      <c r="J67" s="968">
        <f>SUM(J68:J81)</f>
        <v>100</v>
      </c>
      <c r="K67" s="969">
        <f>SUM(K68:K81)</f>
        <v>100</v>
      </c>
      <c r="L67" s="824"/>
      <c r="M67" s="825"/>
      <c r="N67" s="826">
        <f>SUM(N68:N81)</f>
        <v>99.999999999999986</v>
      </c>
    </row>
    <row r="68" spans="1:15" x14ac:dyDescent="0.2">
      <c r="A68" s="970">
        <v>300</v>
      </c>
      <c r="B68" s="971" t="s">
        <v>459</v>
      </c>
      <c r="C68" s="888">
        <f t="shared" ref="C68:C81" si="24">+$C$67*K68/100</f>
        <v>11305754.932439342</v>
      </c>
      <c r="D68" s="888">
        <f t="shared" ref="D68:D81" si="25">+$D$67*K68/100</f>
        <v>2129687.8061549701</v>
      </c>
      <c r="E68" s="888">
        <f t="shared" ref="E68:E81" si="26">+$E$67*K68/100</f>
        <v>1032482.3532450001</v>
      </c>
      <c r="F68" s="889">
        <f t="shared" si="19"/>
        <v>14467925.091839312</v>
      </c>
      <c r="G68" s="890">
        <v>24282</v>
      </c>
      <c r="H68" s="891" t="s">
        <v>164</v>
      </c>
      <c r="I68" s="892">
        <f t="shared" ref="I68:I81" si="27">+F68/G68</f>
        <v>595.82921883861752</v>
      </c>
      <c r="J68" s="972">
        <v>15.568862275449101</v>
      </c>
      <c r="K68" s="973">
        <v>14.77</v>
      </c>
      <c r="L68" s="847"/>
      <c r="M68" s="974"/>
      <c r="N68" s="826">
        <v>14.95</v>
      </c>
      <c r="O68" s="826">
        <v>14.942528735632184</v>
      </c>
    </row>
    <row r="69" spans="1:15" x14ac:dyDescent="0.2">
      <c r="A69" s="848">
        <v>301</v>
      </c>
      <c r="B69" s="975" t="s">
        <v>460</v>
      </c>
      <c r="C69" s="850">
        <f t="shared" si="24"/>
        <v>6085358.951448394</v>
      </c>
      <c r="D69" s="850">
        <f t="shared" si="25"/>
        <v>1146311.3106927567</v>
      </c>
      <c r="E69" s="850">
        <f t="shared" si="26"/>
        <v>555736.94707500003</v>
      </c>
      <c r="F69" s="851">
        <f t="shared" si="19"/>
        <v>7787407.2092161505</v>
      </c>
      <c r="G69" s="710">
        <v>1114</v>
      </c>
      <c r="H69" s="852" t="s">
        <v>99</v>
      </c>
      <c r="I69" s="853">
        <f t="shared" si="27"/>
        <v>6990.4912111455569</v>
      </c>
      <c r="J69" s="854">
        <v>7.7844311377245505</v>
      </c>
      <c r="K69" s="976">
        <v>7.95</v>
      </c>
      <c r="L69" s="847"/>
      <c r="M69" s="977"/>
      <c r="N69" s="826">
        <v>7.47</v>
      </c>
      <c r="O69" s="826">
        <v>7.4712643678160919</v>
      </c>
    </row>
    <row r="70" spans="1:15" x14ac:dyDescent="0.2">
      <c r="A70" s="848">
        <v>302</v>
      </c>
      <c r="B70" s="975" t="s">
        <v>461</v>
      </c>
      <c r="C70" s="850">
        <f t="shared" si="24"/>
        <v>3046506.7455049818</v>
      </c>
      <c r="D70" s="850">
        <f t="shared" si="25"/>
        <v>573876.60585624794</v>
      </c>
      <c r="E70" s="850">
        <f t="shared" si="26"/>
        <v>278217.99363000004</v>
      </c>
      <c r="F70" s="851">
        <f t="shared" si="19"/>
        <v>3898601.3449912299</v>
      </c>
      <c r="G70" s="682">
        <v>1585</v>
      </c>
      <c r="H70" s="852" t="s">
        <v>118</v>
      </c>
      <c r="I70" s="853">
        <f t="shared" si="27"/>
        <v>2459.6853911616595</v>
      </c>
      <c r="J70" s="854">
        <v>4.1916167664670656</v>
      </c>
      <c r="K70" s="976">
        <v>3.98</v>
      </c>
      <c r="L70" s="847"/>
      <c r="M70" s="977"/>
      <c r="N70" s="826">
        <v>4.0199999999999996</v>
      </c>
      <c r="O70" s="826">
        <v>4.0229885057471266</v>
      </c>
    </row>
    <row r="71" spans="1:15" x14ac:dyDescent="0.2">
      <c r="A71" s="848">
        <v>303</v>
      </c>
      <c r="B71" s="975" t="s">
        <v>462</v>
      </c>
      <c r="C71" s="850">
        <f t="shared" si="24"/>
        <v>4784087.2259814413</v>
      </c>
      <c r="D71" s="850">
        <f t="shared" si="25"/>
        <v>901188.13733707275</v>
      </c>
      <c r="E71" s="850">
        <f t="shared" si="26"/>
        <v>436900.11562499998</v>
      </c>
      <c r="F71" s="851">
        <f t="shared" si="19"/>
        <v>6122175.4789435137</v>
      </c>
      <c r="G71" s="682">
        <v>965</v>
      </c>
      <c r="H71" s="852" t="s">
        <v>100</v>
      </c>
      <c r="I71" s="853">
        <f t="shared" si="27"/>
        <v>6344.2232942419832</v>
      </c>
      <c r="J71" s="854">
        <v>7.1856287425149699</v>
      </c>
      <c r="K71" s="976">
        <v>6.25</v>
      </c>
      <c r="L71" s="847"/>
      <c r="M71" s="977"/>
      <c r="N71" s="826">
        <v>6.32</v>
      </c>
      <c r="O71" s="826">
        <v>6.3218390804597702</v>
      </c>
    </row>
    <row r="72" spans="1:15" x14ac:dyDescent="0.2">
      <c r="A72" s="848">
        <v>304</v>
      </c>
      <c r="B72" s="975" t="s">
        <v>463</v>
      </c>
      <c r="C72" s="850">
        <f t="shared" si="24"/>
        <v>3482815.5005144896</v>
      </c>
      <c r="D72" s="850">
        <f t="shared" si="25"/>
        <v>656064.96398138895</v>
      </c>
      <c r="E72" s="850">
        <f t="shared" si="26"/>
        <v>318063.28417499998</v>
      </c>
      <c r="F72" s="851">
        <f t="shared" si="19"/>
        <v>4456943.7486708788</v>
      </c>
      <c r="G72" s="682">
        <v>23631</v>
      </c>
      <c r="H72" s="852" t="s">
        <v>101</v>
      </c>
      <c r="I72" s="853">
        <f t="shared" si="27"/>
        <v>188.60580376077522</v>
      </c>
      <c r="J72" s="854">
        <v>4.1916167664670656</v>
      </c>
      <c r="K72" s="976">
        <v>4.55</v>
      </c>
      <c r="L72" s="847"/>
      <c r="M72" s="977"/>
      <c r="N72" s="826">
        <v>4.5999999999999996</v>
      </c>
      <c r="O72" s="826">
        <v>4.5977011494252871</v>
      </c>
    </row>
    <row r="73" spans="1:15" x14ac:dyDescent="0.2">
      <c r="A73" s="848">
        <v>305</v>
      </c>
      <c r="B73" s="975" t="s">
        <v>464</v>
      </c>
      <c r="C73" s="850">
        <f t="shared" si="24"/>
        <v>11305754.932439342</v>
      </c>
      <c r="D73" s="850">
        <f t="shared" si="25"/>
        <v>2129687.8061549701</v>
      </c>
      <c r="E73" s="850">
        <f t="shared" si="26"/>
        <v>1032482.3532450001</v>
      </c>
      <c r="F73" s="851">
        <f t="shared" si="19"/>
        <v>14467925.091839312</v>
      </c>
      <c r="G73" s="682">
        <v>10883</v>
      </c>
      <c r="H73" s="852" t="s">
        <v>1</v>
      </c>
      <c r="I73" s="853">
        <f t="shared" si="27"/>
        <v>1329.4059626793451</v>
      </c>
      <c r="J73" s="854">
        <v>9.5808383233532926</v>
      </c>
      <c r="K73" s="976">
        <v>14.77</v>
      </c>
      <c r="L73" s="847"/>
      <c r="M73" s="977" t="s">
        <v>429</v>
      </c>
      <c r="N73" s="826">
        <v>13.79</v>
      </c>
      <c r="O73" s="826">
        <v>13.793103448275861</v>
      </c>
    </row>
    <row r="74" spans="1:15" x14ac:dyDescent="0.2">
      <c r="A74" s="848">
        <v>306</v>
      </c>
      <c r="B74" s="975" t="s">
        <v>465</v>
      </c>
      <c r="C74" s="850">
        <f t="shared" si="24"/>
        <v>2173889.2354859668</v>
      </c>
      <c r="D74" s="850">
        <f t="shared" si="25"/>
        <v>409499.88960596581</v>
      </c>
      <c r="E74" s="850">
        <f t="shared" si="26"/>
        <v>198527.41254000002</v>
      </c>
      <c r="F74" s="851">
        <f t="shared" si="19"/>
        <v>2781916.5376319326</v>
      </c>
      <c r="G74" s="682">
        <v>1</v>
      </c>
      <c r="H74" s="852" t="s">
        <v>165</v>
      </c>
      <c r="I74" s="853">
        <f t="shared" si="27"/>
        <v>2781916.5376319326</v>
      </c>
      <c r="J74" s="854">
        <v>2.9940119760479043</v>
      </c>
      <c r="K74" s="976">
        <v>2.84</v>
      </c>
      <c r="L74" s="847"/>
      <c r="M74" s="977">
        <v>10883</v>
      </c>
      <c r="N74" s="826">
        <v>2.87</v>
      </c>
      <c r="O74" s="826">
        <v>2.8735632183908044</v>
      </c>
    </row>
    <row r="75" spans="1:15" x14ac:dyDescent="0.2">
      <c r="A75" s="848">
        <v>307</v>
      </c>
      <c r="B75" s="975" t="s">
        <v>466</v>
      </c>
      <c r="C75" s="850">
        <f t="shared" si="24"/>
        <v>4347778.4709719336</v>
      </c>
      <c r="D75" s="850">
        <f t="shared" si="25"/>
        <v>818999.77921193163</v>
      </c>
      <c r="E75" s="850">
        <f t="shared" si="26"/>
        <v>397054.82508000004</v>
      </c>
      <c r="F75" s="851">
        <f t="shared" si="19"/>
        <v>5563833.0752638653</v>
      </c>
      <c r="G75" s="682">
        <v>62062</v>
      </c>
      <c r="H75" s="852" t="s">
        <v>166</v>
      </c>
      <c r="I75" s="853">
        <f t="shared" si="27"/>
        <v>89.649593555861316</v>
      </c>
      <c r="J75" s="854">
        <v>7.1856287425149699</v>
      </c>
      <c r="K75" s="976">
        <v>5.68</v>
      </c>
      <c r="L75" s="847"/>
      <c r="M75" s="977"/>
      <c r="N75" s="826">
        <v>5.75</v>
      </c>
      <c r="O75" s="826">
        <v>5.7471264367816088</v>
      </c>
    </row>
    <row r="76" spans="1:15" ht="20.25" customHeight="1" x14ac:dyDescent="0.2">
      <c r="A76" s="848">
        <v>308</v>
      </c>
      <c r="B76" s="975" t="s">
        <v>467</v>
      </c>
      <c r="C76" s="850">
        <f t="shared" si="24"/>
        <v>5656704.7360004559</v>
      </c>
      <c r="D76" s="850">
        <f t="shared" si="25"/>
        <v>1065564.8535873548</v>
      </c>
      <c r="E76" s="850">
        <f t="shared" si="26"/>
        <v>516590.69671500003</v>
      </c>
      <c r="F76" s="851">
        <f t="shared" si="19"/>
        <v>7238860.2863028105</v>
      </c>
      <c r="G76" s="682">
        <v>151201</v>
      </c>
      <c r="H76" s="852" t="s">
        <v>167</v>
      </c>
      <c r="I76" s="853">
        <f t="shared" si="27"/>
        <v>47.875743456080386</v>
      </c>
      <c r="J76" s="854">
        <v>8.3832335329341312</v>
      </c>
      <c r="K76" s="976">
        <v>7.39</v>
      </c>
      <c r="L76" s="847"/>
      <c r="M76" s="977"/>
      <c r="N76" s="826">
        <v>8.0500000000000007</v>
      </c>
      <c r="O76" s="826">
        <v>8.0459770114942533</v>
      </c>
    </row>
    <row r="77" spans="1:15" x14ac:dyDescent="0.2">
      <c r="A77" s="848">
        <v>309</v>
      </c>
      <c r="B77" s="975" t="s">
        <v>468</v>
      </c>
      <c r="C77" s="850">
        <f t="shared" si="24"/>
        <v>1301271.725466952</v>
      </c>
      <c r="D77" s="850">
        <f t="shared" si="25"/>
        <v>245123.1733556838</v>
      </c>
      <c r="E77" s="850">
        <f t="shared" si="26"/>
        <v>118836.83145000001</v>
      </c>
      <c r="F77" s="851">
        <f t="shared" si="19"/>
        <v>1665231.7302726358</v>
      </c>
      <c r="G77" s="682">
        <v>1</v>
      </c>
      <c r="H77" s="852" t="s">
        <v>165</v>
      </c>
      <c r="I77" s="853">
        <f t="shared" si="27"/>
        <v>1665231.7302726358</v>
      </c>
      <c r="J77" s="854">
        <v>2.0958083832335328</v>
      </c>
      <c r="K77" s="976">
        <v>1.7</v>
      </c>
      <c r="L77" s="847"/>
      <c r="M77" s="977"/>
      <c r="N77" s="826">
        <v>2.0099999999999998</v>
      </c>
      <c r="O77" s="826">
        <v>2.0114942528735633</v>
      </c>
    </row>
    <row r="78" spans="1:15" x14ac:dyDescent="0.2">
      <c r="A78" s="848">
        <v>310</v>
      </c>
      <c r="B78" s="975" t="s">
        <v>469</v>
      </c>
      <c r="C78" s="850">
        <f t="shared" si="24"/>
        <v>10440791.961981898</v>
      </c>
      <c r="D78" s="850">
        <f t="shared" si="25"/>
        <v>1966752.9909244275</v>
      </c>
      <c r="E78" s="850">
        <f t="shared" si="26"/>
        <v>953490.81234000018</v>
      </c>
      <c r="F78" s="851">
        <f t="shared" si="19"/>
        <v>13361035.765246326</v>
      </c>
      <c r="G78" s="682">
        <v>66443</v>
      </c>
      <c r="H78" s="852" t="s">
        <v>1</v>
      </c>
      <c r="I78" s="853">
        <f t="shared" si="27"/>
        <v>201.09019407983274</v>
      </c>
      <c r="J78" s="854">
        <v>13.173652694610778</v>
      </c>
      <c r="K78" s="976">
        <v>13.64</v>
      </c>
      <c r="L78" s="847"/>
      <c r="M78" s="977" t="s">
        <v>429</v>
      </c>
      <c r="N78" s="826">
        <v>13.22</v>
      </c>
      <c r="O78" s="826">
        <v>13.218390804597702</v>
      </c>
    </row>
    <row r="79" spans="1:15" x14ac:dyDescent="0.2">
      <c r="A79" s="848">
        <v>311</v>
      </c>
      <c r="B79" s="975" t="s">
        <v>470</v>
      </c>
      <c r="C79" s="850">
        <f t="shared" si="24"/>
        <v>872617.51001901482</v>
      </c>
      <c r="D79" s="850">
        <f t="shared" si="25"/>
        <v>164376.71625028207</v>
      </c>
      <c r="E79" s="850">
        <f t="shared" si="26"/>
        <v>79690.581090000007</v>
      </c>
      <c r="F79" s="851">
        <f t="shared" si="19"/>
        <v>1116684.8073592968</v>
      </c>
      <c r="G79" s="682">
        <v>762956200</v>
      </c>
      <c r="H79" s="852" t="s">
        <v>308</v>
      </c>
      <c r="I79" s="978">
        <f t="shared" si="27"/>
        <v>1.4636289833666687E-3</v>
      </c>
      <c r="J79" s="854">
        <v>1.4970059880239521</v>
      </c>
      <c r="K79" s="976">
        <v>1.1399999999999999</v>
      </c>
      <c r="L79" s="847"/>
      <c r="M79" s="977" t="s">
        <v>431</v>
      </c>
      <c r="N79" s="826">
        <v>1.44</v>
      </c>
      <c r="O79" s="826">
        <v>1.4367816091954022</v>
      </c>
    </row>
    <row r="80" spans="1:15" x14ac:dyDescent="0.2">
      <c r="A80" s="848">
        <v>312</v>
      </c>
      <c r="B80" s="975" t="s">
        <v>471</v>
      </c>
      <c r="C80" s="850">
        <f t="shared" si="24"/>
        <v>8695556.9419438671</v>
      </c>
      <c r="D80" s="850">
        <f t="shared" si="25"/>
        <v>1637999.5584238633</v>
      </c>
      <c r="E80" s="850">
        <f t="shared" si="26"/>
        <v>794109.65016000008</v>
      </c>
      <c r="F80" s="851">
        <f t="shared" si="19"/>
        <v>11127666.150527731</v>
      </c>
      <c r="G80" s="682">
        <v>13</v>
      </c>
      <c r="H80" s="852" t="s">
        <v>28</v>
      </c>
      <c r="I80" s="853">
        <f t="shared" si="27"/>
        <v>855974.3192713639</v>
      </c>
      <c r="J80" s="854">
        <v>11.976047904191617</v>
      </c>
      <c r="K80" s="976">
        <v>11.36</v>
      </c>
      <c r="L80" s="847"/>
      <c r="M80" s="977" t="s">
        <v>432</v>
      </c>
      <c r="N80" s="826">
        <v>11.49</v>
      </c>
      <c r="O80" s="826">
        <v>11.494252873563218</v>
      </c>
    </row>
    <row r="81" spans="1:15" x14ac:dyDescent="0.2">
      <c r="A81" s="979">
        <v>313</v>
      </c>
      <c r="B81" s="980" t="s">
        <v>472</v>
      </c>
      <c r="C81" s="981">
        <f t="shared" si="24"/>
        <v>3046506.7455049818</v>
      </c>
      <c r="D81" s="981">
        <f t="shared" si="25"/>
        <v>573876.60585624794</v>
      </c>
      <c r="E81" s="981">
        <f t="shared" si="26"/>
        <v>278217.99363000004</v>
      </c>
      <c r="F81" s="982">
        <f t="shared" si="19"/>
        <v>3898601.3449912299</v>
      </c>
      <c r="G81" s="983">
        <f>8+4</f>
        <v>12</v>
      </c>
      <c r="H81" s="984" t="s">
        <v>1</v>
      </c>
      <c r="I81" s="985">
        <f t="shared" si="27"/>
        <v>324883.44541593583</v>
      </c>
      <c r="J81" s="986">
        <v>4.1916167664670656</v>
      </c>
      <c r="K81" s="987">
        <v>3.98</v>
      </c>
      <c r="L81" s="847"/>
      <c r="M81" s="825" t="s">
        <v>433</v>
      </c>
      <c r="N81" s="826">
        <v>4.0199999999999996</v>
      </c>
      <c r="O81" s="826">
        <v>4.0229885057471266</v>
      </c>
    </row>
    <row r="82" spans="1:15" s="837" customFormat="1" ht="22.5" thickBot="1" x14ac:dyDescent="0.25">
      <c r="A82" s="988" t="s">
        <v>71</v>
      </c>
      <c r="B82" s="989"/>
      <c r="C82" s="990">
        <f>+C5+C17+C19+C26+C41+C54+C62+C67</f>
        <v>577020617.50999999</v>
      </c>
      <c r="D82" s="990">
        <f>+D5+D17+D19+D26+D41+D54+D62+D67</f>
        <v>41360637.719999999</v>
      </c>
      <c r="E82" s="990">
        <f>+E5+E17+E19+E26+E41+E54+E62+E67</f>
        <v>43873491.260000013</v>
      </c>
      <c r="F82" s="990">
        <f t="shared" si="19"/>
        <v>662254746.49000001</v>
      </c>
      <c r="G82" s="991"/>
      <c r="H82" s="992"/>
      <c r="I82" s="993"/>
      <c r="J82" s="994"/>
      <c r="K82" s="995"/>
      <c r="L82" s="996"/>
      <c r="M82" s="997"/>
    </row>
    <row r="83" spans="1:15" x14ac:dyDescent="0.2">
      <c r="B83" s="998"/>
      <c r="C83" s="999">
        <f>+'ต.2=กระจาย ต.1สู่ ต.2-ปี61'!B28+'ต.2=กระจาย ต.1สู่ ต.2-ปี61'!C28+'ต.2=กระจาย ต.1สู่ ต.2-ปี61'!D28+'ต.2=กระจาย ต.1สู่ ต.2-ปี61'!F28+'ต.2=กระจาย ต.1สู่ ต.2-ปี61'!G28+'ต.2=กระจาย ต.1สู่ ต.2-ปี61'!H28+'ต.2=กระจาย ต.1สู่ ต.2-ปี61'!J28+'ต.2=กระจาย ต.1สู่ ต.2-ปี61'!M28+'ต.2=กระจาย ต.1สู่ ต.2-ปี61'!O28</f>
        <v>577020617.50999987</v>
      </c>
      <c r="D83" s="999">
        <f>+'ต.2=กระจาย ต.1สู่ ต.2-ปี61'!E28+'ต.2=กระจาย ต.1สู่ ต.2-ปี61'!K28+'ต.2=กระจาย ต.1สู่ ต.2-ปี61'!P28</f>
        <v>41360637.719999999</v>
      </c>
      <c r="E83" s="999">
        <f>+'ต.2=กระจาย ต.1สู่ ต.2-ปี61'!I28+'ต.2=กระจาย ต.1สู่ ต.2-ปี61'!N28</f>
        <v>43873491.260000013</v>
      </c>
      <c r="F83" s="999">
        <f>+'ต.2=กระจาย ต.1สู่ ต.2-ปี61'!R28</f>
        <v>662254746.48999989</v>
      </c>
      <c r="H83" s="1001"/>
    </row>
    <row r="84" spans="1:15" ht="43.5" x14ac:dyDescent="0.2">
      <c r="A84" s="825"/>
      <c r="B84" s="1002" t="s">
        <v>580</v>
      </c>
      <c r="C84" s="999">
        <f>+C82-C83</f>
        <v>0</v>
      </c>
      <c r="D84" s="999">
        <f>+D82-D83</f>
        <v>0</v>
      </c>
      <c r="E84" s="999">
        <f>+E82-E83</f>
        <v>0</v>
      </c>
      <c r="F84" s="999">
        <f>+F82-F83</f>
        <v>0</v>
      </c>
    </row>
    <row r="85" spans="1:15" x14ac:dyDescent="0.2">
      <c r="A85" s="825"/>
      <c r="B85" s="1002" t="s">
        <v>497</v>
      </c>
      <c r="C85" s="1004"/>
    </row>
    <row r="86" spans="1:15" x14ac:dyDescent="0.2">
      <c r="A86" s="825"/>
      <c r="B86" s="1002"/>
      <c r="C86" s="826">
        <v>86922837.289999992</v>
      </c>
      <c r="D86" s="999">
        <v>4647098.3</v>
      </c>
      <c r="E86" s="999">
        <v>10797364.859999999</v>
      </c>
    </row>
    <row r="87" spans="1:15" x14ac:dyDescent="0.2">
      <c r="A87" s="825"/>
      <c r="C87" s="1004">
        <f>SUM(C68:C77)</f>
        <v>53489922.456253298</v>
      </c>
      <c r="D87" s="1004">
        <f>SUM(D68:D77)</f>
        <v>10076004.325938342</v>
      </c>
      <c r="E87" s="1004">
        <f>SUM(E68:E77)</f>
        <v>4884892.8127800012</v>
      </c>
    </row>
    <row r="92" spans="1:15" ht="22.5" thickBot="1" x14ac:dyDescent="0.55000000000000004">
      <c r="B92" s="1006"/>
      <c r="C92" s="1007"/>
      <c r="D92" s="1008" t="s">
        <v>319</v>
      </c>
    </row>
    <row r="93" spans="1:15" x14ac:dyDescent="0.5">
      <c r="B93" s="1009"/>
      <c r="C93" s="1009"/>
      <c r="D93" s="1010"/>
    </row>
    <row r="94" spans="1:15" x14ac:dyDescent="0.5">
      <c r="B94" s="825"/>
      <c r="C94" s="1006"/>
      <c r="D94" s="1011">
        <v>10</v>
      </c>
    </row>
    <row r="95" spans="1:15" x14ac:dyDescent="0.5">
      <c r="B95" s="825"/>
      <c r="C95" s="1006"/>
      <c r="D95" s="1011">
        <v>1</v>
      </c>
      <c r="E95" s="826"/>
      <c r="F95" s="826"/>
      <c r="G95" s="826"/>
      <c r="H95" s="826"/>
    </row>
    <row r="96" spans="1:15" x14ac:dyDescent="0.5">
      <c r="B96" s="825"/>
      <c r="C96" s="1006"/>
      <c r="D96" s="1011">
        <v>5</v>
      </c>
      <c r="E96" s="826"/>
      <c r="F96" s="826"/>
      <c r="G96" s="826"/>
      <c r="H96" s="826"/>
    </row>
    <row r="97" spans="2:8" x14ac:dyDescent="0.5">
      <c r="B97" s="825"/>
      <c r="C97" s="1006"/>
      <c r="D97" s="1011">
        <v>13</v>
      </c>
      <c r="E97" s="826"/>
      <c r="F97" s="826"/>
      <c r="G97" s="826"/>
      <c r="H97" s="826"/>
    </row>
    <row r="98" spans="2:8" x14ac:dyDescent="0.5">
      <c r="B98" s="825"/>
      <c r="C98" s="1006"/>
      <c r="D98" s="1011">
        <v>12</v>
      </c>
      <c r="E98" s="826"/>
      <c r="F98" s="826"/>
      <c r="G98" s="826"/>
      <c r="H98" s="826"/>
    </row>
    <row r="99" spans="2:8" x14ac:dyDescent="0.5">
      <c r="B99" s="825"/>
      <c r="C99" s="1006"/>
      <c r="D99" s="1011">
        <v>7</v>
      </c>
      <c r="E99" s="826"/>
      <c r="F99" s="826"/>
      <c r="G99" s="826"/>
      <c r="H99" s="826"/>
    </row>
    <row r="100" spans="2:8" x14ac:dyDescent="0.5">
      <c r="B100" s="825"/>
      <c r="C100" s="1006"/>
      <c r="D100" s="1011">
        <v>4</v>
      </c>
      <c r="E100" s="826"/>
      <c r="F100" s="826"/>
      <c r="G100" s="826"/>
      <c r="H100" s="826"/>
    </row>
    <row r="101" spans="2:8" ht="22.5" thickBot="1" x14ac:dyDescent="0.55000000000000004">
      <c r="B101" s="1012"/>
      <c r="C101" s="1013"/>
      <c r="D101" s="1014">
        <f>SUM(D94:D100)</f>
        <v>52</v>
      </c>
      <c r="E101" s="826"/>
      <c r="F101" s="826"/>
      <c r="G101" s="826"/>
      <c r="H101" s="826"/>
    </row>
    <row r="102" spans="2:8" x14ac:dyDescent="0.5">
      <c r="B102" s="1015"/>
      <c r="C102" s="1009"/>
      <c r="D102" s="1016">
        <v>17</v>
      </c>
      <c r="E102" s="826"/>
      <c r="F102" s="826"/>
      <c r="G102" s="826"/>
      <c r="H102" s="826"/>
    </row>
    <row r="103" spans="2:8" x14ac:dyDescent="0.5">
      <c r="B103" s="825"/>
      <c r="C103" s="1007"/>
      <c r="D103" s="1011">
        <v>14</v>
      </c>
      <c r="E103" s="826"/>
      <c r="F103" s="826"/>
      <c r="G103" s="826"/>
      <c r="H103" s="826"/>
    </row>
    <row r="104" spans="2:8" x14ac:dyDescent="0.5">
      <c r="B104" s="825"/>
      <c r="C104" s="1007"/>
      <c r="D104" s="1011">
        <v>1</v>
      </c>
      <c r="E104" s="826"/>
      <c r="F104" s="826"/>
      <c r="G104" s="826"/>
      <c r="H104" s="826"/>
    </row>
    <row r="105" spans="2:8" x14ac:dyDescent="0.5">
      <c r="B105" s="825"/>
      <c r="C105" s="1007"/>
      <c r="D105" s="1011">
        <v>2</v>
      </c>
      <c r="E105" s="826"/>
      <c r="F105" s="826"/>
      <c r="G105" s="826"/>
      <c r="H105" s="826"/>
    </row>
    <row r="106" spans="2:8" ht="22.5" thickBot="1" x14ac:dyDescent="0.55000000000000004">
      <c r="B106" s="1017"/>
      <c r="C106" s="1018"/>
      <c r="D106" s="1019">
        <f>+D101+D102</f>
        <v>69</v>
      </c>
      <c r="E106" s="826"/>
      <c r="F106" s="826"/>
      <c r="G106" s="826"/>
      <c r="H106" s="826"/>
    </row>
    <row r="107" spans="2:8" ht="22.5" thickTop="1" x14ac:dyDescent="0.2">
      <c r="E107" s="826"/>
      <c r="F107" s="826"/>
      <c r="G107" s="826"/>
      <c r="H107" s="826"/>
    </row>
  </sheetData>
  <pageMargins left="0.35433070866141736" right="0.19685039370078741" top="0.27559055118110237" bottom="0.31496062992125984" header="0" footer="0"/>
  <pageSetup paperSize="9" scale="74" orientation="landscape" horizontalDpi="0" verticalDpi="0" r:id="rId1"/>
  <rowBreaks count="2" manualBreakCount="2">
    <brk id="34" max="11" man="1"/>
    <brk id="61" max="11" man="1"/>
  </rowBreaks>
  <colBreaks count="2" manualBreakCount="2">
    <brk id="11" max="84" man="1"/>
    <brk id="12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N100"/>
  <sheetViews>
    <sheetView view="pageBreakPreview" zoomScaleNormal="100" zoomScaleSheetLayoutView="100" workbookViewId="0">
      <pane xSplit="2" ySplit="3" topLeftCell="E55" activePane="bottomRight" state="frozen"/>
      <selection activeCell="E30" sqref="E30"/>
      <selection pane="topRight" activeCell="E30" sqref="E30"/>
      <selection pane="bottomLeft" activeCell="E30" sqref="E30"/>
      <selection pane="bottomRight" activeCell="E8" sqref="E8"/>
    </sheetView>
  </sheetViews>
  <sheetFormatPr defaultColWidth="9" defaultRowHeight="21.75" x14ac:dyDescent="0.2"/>
  <cols>
    <col min="1" max="1" width="4" style="127" customWidth="1"/>
    <col min="2" max="2" width="55.42578125" style="561" customWidth="1"/>
    <col min="3" max="3" width="15.28515625" style="102" customWidth="1"/>
    <col min="4" max="4" width="13.85546875" style="102" bestFit="1" customWidth="1"/>
    <col min="5" max="5" width="14" style="102" bestFit="1" customWidth="1"/>
    <col min="6" max="6" width="15" style="102" bestFit="1" customWidth="1"/>
    <col min="7" max="7" width="14.5703125" style="556" bestFit="1" customWidth="1"/>
    <col min="8" max="8" width="29.85546875" style="560" customWidth="1"/>
    <col min="9" max="10" width="13.5703125" style="127" customWidth="1"/>
    <col min="11" max="11" width="13.7109375" style="127" bestFit="1" customWidth="1"/>
    <col min="12" max="12" width="14.85546875" style="102" bestFit="1" customWidth="1"/>
    <col min="13" max="13" width="14.140625" style="127" bestFit="1" customWidth="1"/>
    <col min="14" max="14" width="14.85546875" style="127" bestFit="1" customWidth="1"/>
    <col min="15" max="16384" width="9" style="127"/>
  </cols>
  <sheetData>
    <row r="1" spans="1:13" s="492" customFormat="1" x14ac:dyDescent="0.2">
      <c r="A1" s="486" t="s">
        <v>386</v>
      </c>
      <c r="B1" s="487"/>
      <c r="C1" s="488"/>
      <c r="D1" s="489"/>
      <c r="E1" s="489"/>
      <c r="F1" s="489"/>
      <c r="G1" s="490"/>
      <c r="H1" s="491"/>
      <c r="L1" s="489"/>
    </row>
    <row r="2" spans="1:13" s="492" customFormat="1" ht="22.5" thickBot="1" x14ac:dyDescent="0.25">
      <c r="B2" s="493"/>
      <c r="C2" s="489"/>
      <c r="D2" s="489"/>
      <c r="E2" s="489"/>
      <c r="F2" s="489"/>
      <c r="G2" s="490"/>
      <c r="H2" s="491"/>
      <c r="I2" s="494" t="s">
        <v>117</v>
      </c>
      <c r="L2" s="489"/>
    </row>
    <row r="3" spans="1:13" s="492" customFormat="1" ht="22.5" thickBot="1" x14ac:dyDescent="0.25">
      <c r="A3" s="1502" t="s">
        <v>394</v>
      </c>
      <c r="B3" s="1503"/>
      <c r="C3" s="495" t="s">
        <v>67</v>
      </c>
      <c r="D3" s="495" t="s">
        <v>69</v>
      </c>
      <c r="E3" s="495" t="s">
        <v>77</v>
      </c>
      <c r="F3" s="495" t="s">
        <v>78</v>
      </c>
      <c r="G3" s="496" t="s">
        <v>80</v>
      </c>
      <c r="H3" s="497" t="s">
        <v>81</v>
      </c>
      <c r="I3" s="497" t="s">
        <v>85</v>
      </c>
      <c r="J3" s="498" t="s">
        <v>311</v>
      </c>
      <c r="K3" s="498" t="s">
        <v>404</v>
      </c>
      <c r="L3" s="489"/>
    </row>
    <row r="4" spans="1:13" ht="19.5" customHeight="1" thickBot="1" x14ac:dyDescent="0.25">
      <c r="A4" s="499" t="s">
        <v>79</v>
      </c>
      <c r="B4" s="500"/>
      <c r="C4" s="501"/>
      <c r="D4" s="501"/>
      <c r="E4" s="501"/>
      <c r="F4" s="501"/>
      <c r="G4" s="502"/>
      <c r="H4" s="503"/>
      <c r="I4" s="504"/>
      <c r="J4" s="505"/>
      <c r="K4" s="323"/>
    </row>
    <row r="5" spans="1:13" s="126" customFormat="1" ht="19.5" customHeight="1" x14ac:dyDescent="0.2">
      <c r="A5" s="506" t="s">
        <v>239</v>
      </c>
      <c r="B5" s="507"/>
      <c r="C5" s="508">
        <f>SUM(C6:C16)</f>
        <v>50205519.441729091</v>
      </c>
      <c r="D5" s="508">
        <f>SUM(D6:D16)</f>
        <v>3074706.0608974351</v>
      </c>
      <c r="E5" s="508">
        <f>SUM(E6:E16)</f>
        <v>1485494.6971428571</v>
      </c>
      <c r="F5" s="508">
        <f>SUM(C5:E5)</f>
        <v>54765720.199769378</v>
      </c>
      <c r="G5" s="509"/>
      <c r="H5" s="510"/>
      <c r="I5" s="511"/>
      <c r="J5" s="512">
        <f>SUM(J6:J16)</f>
        <v>100.00000000000001</v>
      </c>
      <c r="K5" s="513">
        <f>SUM(K6:K16)</f>
        <v>100</v>
      </c>
      <c r="L5" s="259">
        <f>+'[3]ตารางที่3 จาก ต.2-สูตร-ปี61ไม่'!F5</f>
        <v>54765720.199769385</v>
      </c>
    </row>
    <row r="6" spans="1:13" ht="19.5" customHeight="1" x14ac:dyDescent="0.2">
      <c r="A6" s="514">
        <v>800</v>
      </c>
      <c r="B6" s="515" t="s">
        <v>138</v>
      </c>
      <c r="C6" s="481">
        <f>+'ตารางที่3 จาก ต.2-สูตร-ปี61ฐาน'!C6</f>
        <v>9639459.7328119855</v>
      </c>
      <c r="D6" s="481">
        <f>+'ตารางที่3 จาก ต.2-สูตร-ปี61ฐาน'!D6</f>
        <v>590343.56369230757</v>
      </c>
      <c r="E6" s="481">
        <f>+'ตารางที่3 จาก ต.2-สูตร-ปี61ฐาน'!E6</f>
        <v>285214.98185142857</v>
      </c>
      <c r="F6" s="192">
        <f>SUM(C6:E6)</f>
        <v>10515018.278355721</v>
      </c>
      <c r="G6" s="482">
        <f>+'ตารางที่3 จาก ต.2-สูตร-ปี61ฐาน'!G6</f>
        <v>1</v>
      </c>
      <c r="H6" s="482" t="str">
        <f>+'ตารางที่3 จาก ต.2-สูตร-ปี61ฐาน'!H6</f>
        <v>เรื่อง</v>
      </c>
      <c r="I6" s="516">
        <f t="shared" ref="I6:I16" si="0">+F6/G6</f>
        <v>10515018.278355721</v>
      </c>
      <c r="J6" s="517">
        <f>+'ตารางที่3 จาก ต.2-สูตร-ปี61ฐาน'!J6</f>
        <v>16.3</v>
      </c>
      <c r="K6" s="518">
        <f>+'ตารางที่3 จาก ต.2-สูตร-ปี61ฐาน'!K6</f>
        <v>19.2</v>
      </c>
      <c r="M6" s="518">
        <v>8.6999999999999993</v>
      </c>
    </row>
    <row r="7" spans="1:13" ht="19.5" customHeight="1" x14ac:dyDescent="0.2">
      <c r="A7" s="256">
        <v>801</v>
      </c>
      <c r="B7" s="519" t="s">
        <v>139</v>
      </c>
      <c r="C7" s="481">
        <f>+'ตารางที่3 จาก ต.2-สูตร-ปี61ฐาน'!C7</f>
        <v>7897328.2081839871</v>
      </c>
      <c r="D7" s="481">
        <f>+'ตารางที่3 จาก ต.2-สูตร-ปี61ฐาน'!D7</f>
        <v>483651.26337916666</v>
      </c>
      <c r="E7" s="481">
        <f>+'ตารางที่3 จาก ต.2-สูตร-ปี61ฐาน'!E7</f>
        <v>233668.31586057143</v>
      </c>
      <c r="F7" s="160">
        <f t="shared" ref="F7:F16" si="1">SUM(C7:E7)</f>
        <v>8614647.7874237262</v>
      </c>
      <c r="G7" s="482">
        <f>+'ตารางที่3 จาก ต.2-สูตร-ปี61ฐาน'!G7</f>
        <v>4</v>
      </c>
      <c r="H7" s="482" t="str">
        <f>+'ตารางที่3 จาก ต.2-สูตร-ปี61ฐาน'!H7</f>
        <v>ครั้ง</v>
      </c>
      <c r="I7" s="483">
        <f t="shared" si="0"/>
        <v>2153661.9468559315</v>
      </c>
      <c r="J7" s="517">
        <f>+'ตารางที่3 จาก ต.2-สูตร-ปี61ฐาน'!J7</f>
        <v>15.73</v>
      </c>
      <c r="K7" s="518">
        <f>+'ตารางที่3 จาก ต.2-สูตร-ปี61ฐาน'!K7</f>
        <v>15.73</v>
      </c>
      <c r="M7" s="107">
        <v>13.53</v>
      </c>
    </row>
    <row r="8" spans="1:13" ht="19.5" customHeight="1" x14ac:dyDescent="0.2">
      <c r="A8" s="256">
        <v>802</v>
      </c>
      <c r="B8" s="519" t="s">
        <v>140</v>
      </c>
      <c r="C8" s="481">
        <f>+'ตารางที่3 จาก ต.2-สูตร-ปี61ฐาน'!C8</f>
        <v>10884556.614966869</v>
      </c>
      <c r="D8" s="481">
        <f>+'ตารางที่3 จาก ต.2-สูตร-ปี61ฐาน'!D8</f>
        <v>666596.27400256402</v>
      </c>
      <c r="E8" s="481">
        <f>+'ตารางที่3 จาก ต.2-สูตร-ปี61ฐาน'!E8</f>
        <v>322055.25034057139</v>
      </c>
      <c r="F8" s="160">
        <f t="shared" si="1"/>
        <v>11873208.139310004</v>
      </c>
      <c r="G8" s="482">
        <f>+'ตารางที่3 จาก ต.2-สูตร-ปี61ฐาน'!G8</f>
        <v>18</v>
      </c>
      <c r="H8" s="482" t="str">
        <f>+'ตารางที่3 จาก ต.2-สูตร-ปี61ฐาน'!H8</f>
        <v>เรื่อง</v>
      </c>
      <c r="I8" s="483">
        <f t="shared" si="0"/>
        <v>659622.67440611136</v>
      </c>
      <c r="J8" s="517">
        <f>+'ตารางที่3 จาก ต.2-สูตร-ปี61ฐาน'!J8</f>
        <v>24.68</v>
      </c>
      <c r="K8" s="518">
        <f>+'ตารางที่3 จาก ต.2-สูตร-ปี61ฐาน'!K8</f>
        <v>21.68</v>
      </c>
      <c r="M8" s="107">
        <v>10.63</v>
      </c>
    </row>
    <row r="9" spans="1:13" ht="19.5" customHeight="1" x14ac:dyDescent="0.2">
      <c r="A9" s="256">
        <v>803</v>
      </c>
      <c r="B9" s="519" t="s">
        <v>141</v>
      </c>
      <c r="C9" s="481">
        <f>+'ตารางที่3 จาก ต.2-สูตร-ปี61ฐาน'!C9</f>
        <v>5522607.1385902008</v>
      </c>
      <c r="D9" s="481">
        <f>+'ตารางที่3 จาก ต.2-สูตร-ปี61ฐาน'!D9</f>
        <v>338217.66669871792</v>
      </c>
      <c r="E9" s="481">
        <f>+'ตารางที่3 จาก ต.2-สูตร-ปี61ฐาน'!E9</f>
        <v>163404.41668571427</v>
      </c>
      <c r="F9" s="160">
        <f t="shared" si="1"/>
        <v>6024229.2219746327</v>
      </c>
      <c r="G9" s="482">
        <f>+'ตารางที่3 จาก ต.2-สูตร-ปี61ฐาน'!G9</f>
        <v>26</v>
      </c>
      <c r="H9" s="482" t="str">
        <f>+'ตารางที่3 จาก ต.2-สูตร-ปี61ฐาน'!H9</f>
        <v>หน่วยงาน</v>
      </c>
      <c r="I9" s="483">
        <f t="shared" si="0"/>
        <v>231701.12392210125</v>
      </c>
      <c r="J9" s="517">
        <f>+'ตารางที่3 จาก ต.2-สูตร-ปี61ฐาน'!J9</f>
        <v>11</v>
      </c>
      <c r="K9" s="518">
        <f>+'ตารางที่3 จาก ต.2-สูตร-ปี61ฐาน'!K9</f>
        <v>11</v>
      </c>
      <c r="M9" s="107">
        <v>3.86</v>
      </c>
    </row>
    <row r="10" spans="1:13" ht="19.5" customHeight="1" x14ac:dyDescent="0.2">
      <c r="A10" s="256">
        <v>804</v>
      </c>
      <c r="B10" s="519" t="s">
        <v>142</v>
      </c>
      <c r="C10" s="481">
        <f>+'ตารางที่3 จาก ต.2-สูตร-ปี61ฐาน'!C10</f>
        <v>1506165.583251873</v>
      </c>
      <c r="D10" s="481">
        <f>+'ตารางที่3 จาก ต.2-สูตร-ปี61ฐาน'!D10</f>
        <v>92241.181826923057</v>
      </c>
      <c r="E10" s="481">
        <f>+'ตารางที่3 จาก ต.2-สูตร-ปี61ฐาน'!E10</f>
        <v>44564.840914285713</v>
      </c>
      <c r="F10" s="160">
        <f t="shared" si="1"/>
        <v>1642971.6059930818</v>
      </c>
      <c r="G10" s="482">
        <f>+'ตารางที่3 จาก ต.2-สูตร-ปี61ฐาน'!G10</f>
        <v>12</v>
      </c>
      <c r="H10" s="482" t="str">
        <f>+'ตารางที่3 จาก ต.2-สูตร-ปี61ฐาน'!H10</f>
        <v>ครั้ง</v>
      </c>
      <c r="I10" s="483">
        <f t="shared" si="0"/>
        <v>136914.30049942349</v>
      </c>
      <c r="J10" s="517">
        <f>+'ตารางที่3 จาก ต.2-สูตร-ปี61ฐาน'!J10</f>
        <v>3</v>
      </c>
      <c r="K10" s="518">
        <f>+'ตารางที่3 จาก ต.2-สูตร-ปี61ฐาน'!K10</f>
        <v>3</v>
      </c>
      <c r="M10" s="107">
        <v>3.86</v>
      </c>
    </row>
    <row r="11" spans="1:13" ht="19.5" customHeight="1" x14ac:dyDescent="0.2">
      <c r="A11" s="256">
        <v>805</v>
      </c>
      <c r="B11" s="519" t="s">
        <v>143</v>
      </c>
      <c r="C11" s="481">
        <f>+'ตารางที่3 จาก ต.2-สูตร-ปี61ฐาน'!C11</f>
        <v>2008220.7776691639</v>
      </c>
      <c r="D11" s="481">
        <f>+'ตารางที่3 จาก ต.2-สูตร-ปี61ฐาน'!D11</f>
        <v>122988.24243589742</v>
      </c>
      <c r="E11" s="481">
        <f>+'ตารางที่3 จาก ต.2-สูตร-ปี61ฐาน'!E11</f>
        <v>59419.787885714286</v>
      </c>
      <c r="F11" s="160">
        <f t="shared" si="1"/>
        <v>2190628.8079907754</v>
      </c>
      <c r="G11" s="482">
        <f>+'ตารางที่3 จาก ต.2-สูตร-ปี61ฐาน'!G11</f>
        <v>16</v>
      </c>
      <c r="H11" s="482" t="str">
        <f>+'ตารางที่3 จาก ต.2-สูตร-ปี61ฐาน'!H11</f>
        <v>ครั้ง</v>
      </c>
      <c r="I11" s="483">
        <f t="shared" si="0"/>
        <v>136914.30049942347</v>
      </c>
      <c r="J11" s="517">
        <f>+'ตารางที่3 จาก ต.2-สูตร-ปี61ฐาน'!J11</f>
        <v>4</v>
      </c>
      <c r="K11" s="518">
        <f>+'ตารางที่3 จาก ต.2-สูตร-ปี61ฐาน'!K11</f>
        <v>4</v>
      </c>
      <c r="M11" s="107">
        <v>5.8</v>
      </c>
    </row>
    <row r="12" spans="1:13" ht="19.5" customHeight="1" x14ac:dyDescent="0.2">
      <c r="A12" s="256">
        <v>806</v>
      </c>
      <c r="B12" s="519" t="s">
        <v>0</v>
      </c>
      <c r="C12" s="481">
        <f>+'ตารางที่3 จาก ต.2-สูตร-ปี61ฐาน'!C12</f>
        <v>6210422.7549418891</v>
      </c>
      <c r="D12" s="481">
        <f>+'ตารางที่3 จาก ต.2-สูตร-ปี61ฐาน'!D12</f>
        <v>380341.13973301277</v>
      </c>
      <c r="E12" s="481">
        <f>+'ตารางที่3 จาก ต.2-สูตร-ปี61ฐาน'!E12</f>
        <v>183755.69403657143</v>
      </c>
      <c r="F12" s="160">
        <f t="shared" si="1"/>
        <v>6774519.5887114732</v>
      </c>
      <c r="G12" s="482">
        <f>+'ตารางที่3 จาก ต.2-สูตร-ปี61ฐาน'!G12</f>
        <v>40</v>
      </c>
      <c r="H12" s="482" t="str">
        <f>+'ตารางที่3 จาก ต.2-สูตร-ปี61ฐาน'!H12</f>
        <v>ครั้ง</v>
      </c>
      <c r="I12" s="483">
        <f t="shared" si="0"/>
        <v>169362.98971778684</v>
      </c>
      <c r="J12" s="517">
        <f>+'ตารางที่3 จาก ต.2-สูตร-ปี61ฐาน'!J12</f>
        <v>9.3699999999999992</v>
      </c>
      <c r="K12" s="518">
        <f>+'ตารางที่3 จาก ต.2-สูตร-ปี61ฐาน'!K12</f>
        <v>12.37</v>
      </c>
      <c r="M12" s="107">
        <v>20.29</v>
      </c>
    </row>
    <row r="13" spans="1:13" ht="19.5" customHeight="1" x14ac:dyDescent="0.2">
      <c r="A13" s="256">
        <v>507</v>
      </c>
      <c r="B13" s="519" t="s">
        <v>543</v>
      </c>
      <c r="C13" s="481">
        <f>+'ตารางที่3 จาก ต.2-สูตร-ปี61ฐาน'!C13</f>
        <v>0</v>
      </c>
      <c r="D13" s="481">
        <f>+'ตารางที่3 จาก ต.2-สูตร-ปี61ฐาน'!D13</f>
        <v>0</v>
      </c>
      <c r="E13" s="481">
        <f>+'ตารางที่3 จาก ต.2-สูตร-ปี61ฐาน'!E13</f>
        <v>0</v>
      </c>
      <c r="F13" s="160">
        <f t="shared" si="1"/>
        <v>0</v>
      </c>
      <c r="G13" s="482">
        <f>+'ตารางที่3 จาก ต.2-สูตร-ปี61ฐาน'!G13</f>
        <v>0</v>
      </c>
      <c r="H13" s="482">
        <f>+'ตารางที่3 จาก ต.2-สูตร-ปี61ฐาน'!H13</f>
        <v>0</v>
      </c>
      <c r="I13" s="483" t="e">
        <f t="shared" si="0"/>
        <v>#DIV/0!</v>
      </c>
      <c r="J13" s="517">
        <f>+'ตารางที่3 จาก ต.2-สูตร-ปี61ฐาน'!J13</f>
        <v>2.9</v>
      </c>
      <c r="K13" s="518">
        <f>+'ตารางที่3 จาก ต.2-สูตร-ปี61ฐาน'!K13</f>
        <v>0</v>
      </c>
      <c r="M13" s="107">
        <v>0</v>
      </c>
    </row>
    <row r="14" spans="1:13" ht="19.5" customHeight="1" x14ac:dyDescent="0.5">
      <c r="A14" s="248">
        <v>808</v>
      </c>
      <c r="B14" s="1020" t="s">
        <v>494</v>
      </c>
      <c r="C14" s="481">
        <f>+'ตารางที่3 จาก ต.2-สูตร-ปี61ฐาน'!C14</f>
        <v>4518496.7497556182</v>
      </c>
      <c r="D14" s="481">
        <f>+'ตารางที่3 จาก ต.2-สูตร-ปี61ฐาน'!D14</f>
        <v>276723.54548076919</v>
      </c>
      <c r="E14" s="481">
        <f>+'ตารางที่3 จาก ต.2-สูตร-ปี61ฐาน'!E14</f>
        <v>133694.52274285714</v>
      </c>
      <c r="F14" s="160">
        <f t="shared" si="1"/>
        <v>4928914.8179792445</v>
      </c>
      <c r="G14" s="482">
        <f>+'ตารางที่3 จาก ต.2-สูตร-ปี61ฐาน'!G14</f>
        <v>3</v>
      </c>
      <c r="H14" s="482" t="str">
        <f>+'ตารางที่3 จาก ต.2-สูตร-ปี61ฐาน'!H14</f>
        <v>ครั้ง</v>
      </c>
      <c r="I14" s="483">
        <f t="shared" si="0"/>
        <v>1642971.6059930816</v>
      </c>
      <c r="J14" s="517">
        <f>+'ตารางที่3 จาก ต.2-สูตร-ปี61ฐาน'!J14</f>
        <v>9</v>
      </c>
      <c r="K14" s="518">
        <f>+'ตารางที่3 จาก ต.2-สูตร-ปี61ฐาน'!K14</f>
        <v>9</v>
      </c>
      <c r="M14" s="107">
        <v>10.63</v>
      </c>
    </row>
    <row r="15" spans="1:13" ht="19.5" customHeight="1" x14ac:dyDescent="0.5">
      <c r="A15" s="248">
        <v>809</v>
      </c>
      <c r="B15" s="433" t="s">
        <v>309</v>
      </c>
      <c r="C15" s="481">
        <f>+'ตารางที่3 จาก ต.2-สูตร-ปี61ฐาน'!C15</f>
        <v>1004110.3888345819</v>
      </c>
      <c r="D15" s="481">
        <f>+'ตารางที่3 จาก ต.2-สูตร-ปี61ฐาน'!D15</f>
        <v>61494.121217948712</v>
      </c>
      <c r="E15" s="481">
        <f>+'ตารางที่3 จาก ต.2-สูตร-ปี61ฐาน'!E15</f>
        <v>29709.893942857143</v>
      </c>
      <c r="F15" s="160">
        <f t="shared" si="1"/>
        <v>1095314.4039953877</v>
      </c>
      <c r="G15" s="482">
        <f>+'ตารางที่3 จาก ต.2-สูตร-ปี61ฐาน'!G15</f>
        <v>1</v>
      </c>
      <c r="H15" s="482" t="str">
        <f>+'ตารางที่3 จาก ต.2-สูตร-ปี61ฐาน'!H15</f>
        <v>เรื่อง</v>
      </c>
      <c r="I15" s="483">
        <f t="shared" si="0"/>
        <v>1095314.4039953877</v>
      </c>
      <c r="J15" s="517">
        <f>+'ตารางที่3 จาก ต.2-สูตร-ปี61ฐาน'!J15</f>
        <v>2</v>
      </c>
      <c r="K15" s="518">
        <f>+'ตารางที่3 จาก ต.2-สูตร-ปี61ฐาน'!K15</f>
        <v>2</v>
      </c>
      <c r="M15" s="107">
        <v>13.04</v>
      </c>
    </row>
    <row r="16" spans="1:13" ht="19.5" customHeight="1" thickBot="1" x14ac:dyDescent="0.55000000000000004">
      <c r="A16" s="1021">
        <v>810</v>
      </c>
      <c r="B16" s="520" t="s">
        <v>477</v>
      </c>
      <c r="C16" s="481">
        <f>+'ตารางที่3 จาก ต.2-สูตร-ปี61ฐาน'!C16</f>
        <v>1014151.4927229278</v>
      </c>
      <c r="D16" s="481">
        <f>+'ตารางที่3 จาก ต.2-สูตร-ปี61ฐาน'!D16</f>
        <v>62109.062430128193</v>
      </c>
      <c r="E16" s="481">
        <f>+'ตารางที่3 จาก ต.2-สูตร-ปี61ฐาน'!E16</f>
        <v>30006.992882285715</v>
      </c>
      <c r="F16" s="168">
        <f t="shared" si="1"/>
        <v>1106267.5480353418</v>
      </c>
      <c r="G16" s="482">
        <f>+'ตารางที่3 จาก ต.2-สูตร-ปี61ฐาน'!G16</f>
        <v>1</v>
      </c>
      <c r="H16" s="482" t="str">
        <f>+'ตารางที่3 จาก ต.2-สูตร-ปี61ฐาน'!H16</f>
        <v>เรื่อง</v>
      </c>
      <c r="I16" s="521">
        <f t="shared" si="0"/>
        <v>1106267.5480353418</v>
      </c>
      <c r="J16" s="517">
        <f>+'ตารางที่3 จาก ต.2-สูตร-ปี61ฐาน'!J16</f>
        <v>2.02</v>
      </c>
      <c r="K16" s="518">
        <f>+'ตารางที่3 จาก ต.2-สูตร-ปี61ฐาน'!K16</f>
        <v>2.02</v>
      </c>
      <c r="M16" s="107">
        <v>9.66</v>
      </c>
    </row>
    <row r="17" spans="1:12" ht="19.5" customHeight="1" x14ac:dyDescent="0.2">
      <c r="A17" s="506" t="s">
        <v>137</v>
      </c>
      <c r="B17" s="523"/>
      <c r="C17" s="508">
        <f>SUM(C18:C18)</f>
        <v>1797051.5097435897</v>
      </c>
      <c r="D17" s="508">
        <f>SUM(D18:D18)</f>
        <v>519668.9905555555</v>
      </c>
      <c r="E17" s="508">
        <f>SUM(E18:E18)</f>
        <v>252444.79</v>
      </c>
      <c r="F17" s="508">
        <f t="shared" ref="F17:F24" si="2">SUM(C17:E17)</f>
        <v>2569165.290299145</v>
      </c>
      <c r="G17" s="524"/>
      <c r="H17" s="525"/>
      <c r="I17" s="511"/>
      <c r="J17" s="511">
        <f>SUM(J18:J18)</f>
        <v>100</v>
      </c>
      <c r="K17" s="526">
        <f>SUM(K18:K18)</f>
        <v>100</v>
      </c>
      <c r="L17" s="102">
        <f>+'[3]ตารางที่3 จาก ต.2-สูตร-ปี61ไม่'!F17</f>
        <v>2569165.2902991455</v>
      </c>
    </row>
    <row r="18" spans="1:12" ht="19.5" customHeight="1" thickBot="1" x14ac:dyDescent="0.55000000000000004">
      <c r="A18" s="527">
        <v>807</v>
      </c>
      <c r="B18" s="528" t="s">
        <v>183</v>
      </c>
      <c r="C18" s="330">
        <f>+'ตารางที่3 จาก ต.2-สูตร-ปี61ฐาน'!C18</f>
        <v>1797051.5097435897</v>
      </c>
      <c r="D18" s="330">
        <f>+'ตารางที่3 จาก ต.2-สูตร-ปี61ฐาน'!D18</f>
        <v>519668.9905555555</v>
      </c>
      <c r="E18" s="330">
        <f>+'ตารางที่3 จาก ต.2-สูตร-ปี61ฐาน'!E18</f>
        <v>252444.79</v>
      </c>
      <c r="F18" s="529">
        <f t="shared" si="2"/>
        <v>2569165.290299145</v>
      </c>
      <c r="G18" s="530">
        <f>+'ตารางที่3 จาก ต.2-สูตร-ปี61ฐาน'!G18</f>
        <v>5</v>
      </c>
      <c r="H18" s="531" t="str">
        <f>+'ตารางที่3 จาก ต.2-สูตร-ปี61ฐาน'!H18</f>
        <v>เรื่อง</v>
      </c>
      <c r="I18" s="532">
        <f>+F18/G18</f>
        <v>513833.058059829</v>
      </c>
      <c r="J18" s="517">
        <f>+'ตารางที่3 จาก ต.2-สูตร-ปี61ฐาน'!J18</f>
        <v>100</v>
      </c>
      <c r="K18" s="518">
        <f>+'ตารางที่3 จาก ต.2-สูตร-ปี61ฐาน'!K18</f>
        <v>100</v>
      </c>
    </row>
    <row r="19" spans="1:12" s="126" customFormat="1" ht="19.5" customHeight="1" x14ac:dyDescent="0.2">
      <c r="A19" s="533" t="s">
        <v>240</v>
      </c>
      <c r="B19" s="507"/>
      <c r="C19" s="508">
        <f>SUM(C20:C25)</f>
        <v>12972674.716770051</v>
      </c>
      <c r="D19" s="508">
        <f>SUM(D20:D25)</f>
        <v>964400.66915407672</v>
      </c>
      <c r="E19" s="508">
        <f>SUM(E20:E25)</f>
        <v>341304.5184917142</v>
      </c>
      <c r="F19" s="508">
        <f>SUM(C19:E19)</f>
        <v>14278379.90441584</v>
      </c>
      <c r="G19" s="509"/>
      <c r="H19" s="534"/>
      <c r="I19" s="511"/>
      <c r="J19" s="511">
        <f>SUM(J20:J25)</f>
        <v>94.539999999999992</v>
      </c>
      <c r="K19" s="526">
        <f>SUM(K20:K25)</f>
        <v>91.94</v>
      </c>
      <c r="L19" s="259"/>
    </row>
    <row r="20" spans="1:12" ht="19.5" customHeight="1" x14ac:dyDescent="0.2">
      <c r="A20" s="514">
        <v>500</v>
      </c>
      <c r="B20" s="515" t="s">
        <v>144</v>
      </c>
      <c r="C20" s="481">
        <f>+'ตารางที่3 จาก ต.2-สูตร-ปี61ฐาน'!C20</f>
        <v>2367647.1801979714</v>
      </c>
      <c r="D20" s="481">
        <f>+'ตารางที่3 จาก ต.2-สูตร-ปี61ฐาน'!D20</f>
        <v>176013.08710469227</v>
      </c>
      <c r="E20" s="481">
        <f>+'ตารางที่3 จาก ต.2-สูตร-ปี61ฐาน'!E20</f>
        <v>62291.601264857134</v>
      </c>
      <c r="F20" s="192">
        <f t="shared" si="2"/>
        <v>2605951.8685675208</v>
      </c>
      <c r="G20" s="193">
        <f>+'ตารางที่3 จาก ต.2-สูตร-ปี61ฐาน'!G20</f>
        <v>1</v>
      </c>
      <c r="H20" s="482" t="str">
        <f>+'ตารางที่3 จาก ต.2-สูตร-ปี61ฐาน'!H20</f>
        <v>เรื่อง</v>
      </c>
      <c r="I20" s="516">
        <f>+F20/G20</f>
        <v>2605951.8685675208</v>
      </c>
      <c r="J20" s="517">
        <f>+'ตารางที่3 จาก ต.2-สูตร-ปี61ฐาน'!J20</f>
        <v>20.22</v>
      </c>
      <c r="K20" s="518">
        <f>+'ตารางที่3 จาก ต.2-สูตร-ปี61ฐาน'!K20</f>
        <v>16.78</v>
      </c>
    </row>
    <row r="21" spans="1:12" ht="19.5" customHeight="1" x14ac:dyDescent="0.2">
      <c r="A21" s="256">
        <v>501</v>
      </c>
      <c r="B21" s="519" t="s">
        <v>145</v>
      </c>
      <c r="C21" s="481">
        <f>+'ตารางที่3 จาก ต.2-สูตร-ปี61ฐาน'!C21</f>
        <v>1893553.3467375906</v>
      </c>
      <c r="D21" s="481">
        <f>+'ตารางที่3 จาก ต.2-สูตร-ปี61ฐาน'!D21</f>
        <v>140768.51185607689</v>
      </c>
      <c r="E21" s="481">
        <f>+'ตารางที่3 จาก ต.2-สูตร-ปี61ฐาน'!E21</f>
        <v>49818.432000857138</v>
      </c>
      <c r="F21" s="160">
        <f>SUM(C21:E21)</f>
        <v>2084140.2905945245</v>
      </c>
      <c r="G21" s="193">
        <f>+'ตารางที่3 จาก ต.2-สูตร-ปี61ฐาน'!G21</f>
        <v>1</v>
      </c>
      <c r="H21" s="482" t="str">
        <f>+'ตารางที่3 จาก ต.2-สูตร-ปี61ฐาน'!H21</f>
        <v>เรื่อง</v>
      </c>
      <c r="I21" s="483">
        <f>+F21/G21</f>
        <v>2084140.2905945245</v>
      </c>
      <c r="J21" s="517">
        <f>+'ตารางที่3 จาก ต.2-สูตร-ปี61ฐาน'!J21</f>
        <v>15.3</v>
      </c>
      <c r="K21" s="518">
        <f>+'ตารางที่3 จาก ต.2-สูตร-ปี61ฐาน'!K21</f>
        <v>13.42</v>
      </c>
    </row>
    <row r="22" spans="1:12" ht="19.5" customHeight="1" x14ac:dyDescent="0.2">
      <c r="A22" s="256">
        <v>502</v>
      </c>
      <c r="B22" s="519" t="s">
        <v>146</v>
      </c>
      <c r="C22" s="481">
        <f>+'ตารางที่3 จาก ต.2-สูตร-ปี61ฐาน'!C22</f>
        <v>2556720.3161613373</v>
      </c>
      <c r="D22" s="481">
        <f>+'ตารางที่3 จาก ต.2-สูตร-ปี61ฐาน'!D22</f>
        <v>190068.95937646151</v>
      </c>
      <c r="E22" s="481">
        <f>+'ตารางที่3 จาก ต.2-สูตร-ปี61ฐาน'!E22</f>
        <v>67266.019959428566</v>
      </c>
      <c r="F22" s="160">
        <f t="shared" si="2"/>
        <v>2814055.295497227</v>
      </c>
      <c r="G22" s="193">
        <f>+'ตารางที่3 จาก ต.2-สูตร-ปี61ฐาน'!G22</f>
        <v>1</v>
      </c>
      <c r="H22" s="482" t="str">
        <f>+'ตารางที่3 จาก ต.2-สูตร-ปี61ฐาน'!H22</f>
        <v>เรื่อง</v>
      </c>
      <c r="I22" s="483">
        <f>+F22/G22</f>
        <v>2814055.295497227</v>
      </c>
      <c r="J22" s="517">
        <f>+'ตารางที่3 จาก ต.2-สูตร-ปี61ฐาน'!J22</f>
        <v>19.670000000000002</v>
      </c>
      <c r="K22" s="518">
        <f>+'ตารางที่3 จาก ต.2-สูตร-ปี61ฐาน'!K22</f>
        <v>18.12</v>
      </c>
    </row>
    <row r="23" spans="1:12" ht="19.5" customHeight="1" x14ac:dyDescent="0.2">
      <c r="A23" s="256">
        <v>503</v>
      </c>
      <c r="B23" s="519" t="s">
        <v>178</v>
      </c>
      <c r="C23" s="481">
        <f>+'ตารางที่3 จาก ต.2-สูตร-ปี61ฐาน'!C23</f>
        <v>2840330.0201063859</v>
      </c>
      <c r="D23" s="481">
        <f>+'ตารางที่3 จาก ต.2-สูตร-ปี61ฐาน'!D23</f>
        <v>211152.76778411533</v>
      </c>
      <c r="E23" s="481">
        <f>+'ตารางที่3 จาก ต.2-สูตร-ปี61ฐาน'!E23</f>
        <v>74727.648001285692</v>
      </c>
      <c r="F23" s="160">
        <f t="shared" si="2"/>
        <v>3126210.4358917871</v>
      </c>
      <c r="G23" s="193">
        <f>+'ตารางที่3 จาก ต.2-สูตร-ปี61ฐาน'!G23</f>
        <v>1</v>
      </c>
      <c r="H23" s="482" t="str">
        <f>+'ตารางที่3 จาก ต.2-สูตร-ปี61ฐาน'!H23</f>
        <v>เรื่อง</v>
      </c>
      <c r="I23" s="483">
        <f>+F23/G23</f>
        <v>3126210.4358917871</v>
      </c>
      <c r="J23" s="517">
        <f>+'ตารางที่3 จาก ต.2-สูตร-ปี61ฐาน'!J23</f>
        <v>20.22</v>
      </c>
      <c r="K23" s="518">
        <f>+'ตารางที่3 จาก ต.2-สูตร-ปี61ฐาน'!K23</f>
        <v>20.13</v>
      </c>
    </row>
    <row r="24" spans="1:12" ht="19.5" customHeight="1" x14ac:dyDescent="0.2">
      <c r="A24" s="256">
        <v>504</v>
      </c>
      <c r="B24" s="519" t="s">
        <v>179</v>
      </c>
      <c r="C24" s="481">
        <f>+'ตารางที่3 จาก ต.2-สูตร-ปี61ฐาน'!C24</f>
        <v>3314423.8535667663</v>
      </c>
      <c r="D24" s="481">
        <f>+'ตารางที่3 จาก ต.2-สูตร-ปี61ฐาน'!D24</f>
        <v>246397.34303273071</v>
      </c>
      <c r="E24" s="481">
        <f>+'ตารางที่3 จาก ต.2-สูตร-ปี61ฐาน'!E24</f>
        <v>87200.817265285703</v>
      </c>
      <c r="F24" s="160">
        <f t="shared" si="2"/>
        <v>3648022.0138647826</v>
      </c>
      <c r="G24" s="193">
        <f>+'ตารางที่3 จาก ต.2-สูตร-ปี61ฐาน'!G24</f>
        <v>1</v>
      </c>
      <c r="H24" s="482" t="str">
        <f>+'ตารางที่3 จาก ต.2-สูตร-ปี61ฐาน'!H24</f>
        <v>เรื่อง</v>
      </c>
      <c r="I24" s="483">
        <f>+F24/G24</f>
        <v>3648022.0138647826</v>
      </c>
      <c r="J24" s="517">
        <f>+'ตารางที่3 จาก ต.2-สูตร-ปี61ฐาน'!J24</f>
        <v>19.13</v>
      </c>
      <c r="K24" s="518">
        <f>+'ตารางที่3 จาก ต.2-สูตร-ปี61ฐาน'!K24</f>
        <v>23.49</v>
      </c>
    </row>
    <row r="25" spans="1:12" ht="19.5" customHeight="1" thickBot="1" x14ac:dyDescent="0.25">
      <c r="A25" s="535"/>
      <c r="B25" s="536"/>
      <c r="C25" s="252"/>
      <c r="D25" s="252"/>
      <c r="E25" s="252"/>
      <c r="F25" s="168"/>
      <c r="G25" s="188"/>
      <c r="H25" s="189"/>
      <c r="I25" s="521"/>
      <c r="J25" s="537"/>
      <c r="K25" s="538"/>
    </row>
    <row r="26" spans="1:12" s="126" customFormat="1" x14ac:dyDescent="0.2">
      <c r="A26" s="506" t="s">
        <v>91</v>
      </c>
      <c r="B26" s="507"/>
      <c r="C26" s="508">
        <f>SUM(C27:C40)</f>
        <v>67287759.800000027</v>
      </c>
      <c r="D26" s="508">
        <f>SUM(D27:D40)</f>
        <v>3685613.8947008546</v>
      </c>
      <c r="E26" s="508">
        <f>SUM(E27:E40)</f>
        <v>1640159.5799999996</v>
      </c>
      <c r="F26" s="508">
        <f>SUM(C26:E26)</f>
        <v>72613533.27470088</v>
      </c>
      <c r="G26" s="509"/>
      <c r="H26" s="510"/>
      <c r="I26" s="539"/>
      <c r="J26" s="511">
        <f>SUM(J27:J40)</f>
        <v>100</v>
      </c>
      <c r="K26" s="540">
        <f>SUM(K27:K40)</f>
        <v>100</v>
      </c>
      <c r="L26" s="259">
        <f>+'[3]ตารางที่3 จาก ต.2-สูตร-ปี61ไม่'!F26</f>
        <v>72613533.274700865</v>
      </c>
    </row>
    <row r="27" spans="1:12" x14ac:dyDescent="0.2">
      <c r="A27" s="514">
        <v>901</v>
      </c>
      <c r="B27" s="515" t="s">
        <v>493</v>
      </c>
      <c r="C27" s="481">
        <f>+'ตารางที่3 จาก ต.2-สูตร-ปี61ฐาน'!C27</f>
        <v>10093163.970000003</v>
      </c>
      <c r="D27" s="481">
        <f>+'ตารางที่3 จาก ต.2-สูตร-ปี61ฐาน'!D27</f>
        <v>552842.08420512814</v>
      </c>
      <c r="E27" s="481">
        <f>+'ตารางที่3 จาก ต.2-สูตร-ปี61ฐาน'!E27</f>
        <v>246023.93700000001</v>
      </c>
      <c r="F27" s="192">
        <f t="shared" ref="F27:F40" si="3">SUM(C27:E27)</f>
        <v>10892029.991205132</v>
      </c>
      <c r="G27" s="193">
        <f>+'ตารางที่3 จาก ต.2-สูตร-ปี61ฐาน'!G27</f>
        <v>7</v>
      </c>
      <c r="H27" s="482" t="str">
        <f>+'ตารางที่3 จาก ต.2-สูตร-ปี61ฐาน'!H27</f>
        <v>สินค้า</v>
      </c>
      <c r="I27" s="516">
        <f t="shared" ref="I27:I40" si="4">+F27/G27</f>
        <v>1556004.2844578759</v>
      </c>
      <c r="J27" s="517">
        <f>+'ตารางที่3 จาก ต.2-สูตร-ปี61ฐาน'!J27</f>
        <v>15.56</v>
      </c>
      <c r="K27" s="518">
        <f>+'ตารางที่3 จาก ต.2-สูตร-ปี61ฐาน'!K27</f>
        <v>15</v>
      </c>
      <c r="L27" s="102">
        <f>+G27+G29+G31+G33+G37</f>
        <v>23</v>
      </c>
    </row>
    <row r="28" spans="1:12" x14ac:dyDescent="0.2">
      <c r="A28" s="256">
        <v>902</v>
      </c>
      <c r="B28" s="519" t="s">
        <v>39</v>
      </c>
      <c r="C28" s="481">
        <f>+'ตารางที่3 จาก ต.2-สูตร-ปี61ฐาน'!C28</f>
        <v>4144926.003680001</v>
      </c>
      <c r="D28" s="481">
        <f>+'ตารางที่3 จาก ต.2-สูตร-ปี61ฐาน'!D28</f>
        <v>227033.81591357265</v>
      </c>
      <c r="E28" s="481">
        <f>+'ตารางที่3 จาก ต.2-สูตร-ปี61ฐาน'!E28</f>
        <v>101033.83012799999</v>
      </c>
      <c r="F28" s="160">
        <f t="shared" si="3"/>
        <v>4472993.649721574</v>
      </c>
      <c r="G28" s="193">
        <f>+'ตารางที่3 จาก ต.2-สูตร-ปี61ฐาน'!G28</f>
        <v>2</v>
      </c>
      <c r="H28" s="482" t="str">
        <f>+'ตารางที่3 จาก ต.2-สูตร-ปี61ฐาน'!H28</f>
        <v>เรื่อง</v>
      </c>
      <c r="I28" s="483">
        <f t="shared" si="4"/>
        <v>2236496.824860787</v>
      </c>
      <c r="J28" s="517">
        <f>+'ตารางที่3 จาก ต.2-สูตร-ปี61ฐาน'!J28</f>
        <v>5.71</v>
      </c>
      <c r="K28" s="518">
        <f>+'ตารางที่3 จาก ต.2-สูตร-ปี61ฐาน'!K28</f>
        <v>6.16</v>
      </c>
      <c r="L28" s="102">
        <f>+G28+G30+G32+G34+G35+G36+G38+G40</f>
        <v>16</v>
      </c>
    </row>
    <row r="29" spans="1:12" x14ac:dyDescent="0.2">
      <c r="A29" s="256">
        <v>903</v>
      </c>
      <c r="B29" s="519" t="s">
        <v>479</v>
      </c>
      <c r="C29" s="481">
        <f>+'ตารางที่3 จาก ต.2-สูตร-ปี61ฐาน'!C29</f>
        <v>5766561.0148600014</v>
      </c>
      <c r="D29" s="481">
        <f>+'ตารางที่3 จาก ต.2-สูตร-ปี61ฐาน'!D29</f>
        <v>315857.11077586323</v>
      </c>
      <c r="E29" s="481">
        <f>+'ตารางที่3 จาก ต.2-สูตร-ปี61ฐาน'!E29</f>
        <v>140561.67600599999</v>
      </c>
      <c r="F29" s="160">
        <f t="shared" si="3"/>
        <v>6222979.8016418638</v>
      </c>
      <c r="G29" s="193">
        <f>+'ตารางที่3 จาก ต.2-สูตร-ปี61ฐาน'!G29</f>
        <v>4</v>
      </c>
      <c r="H29" s="482" t="str">
        <f>+'ตารางที่3 จาก ต.2-สูตร-ปี61ฐาน'!H29</f>
        <v>สินค้า</v>
      </c>
      <c r="I29" s="483">
        <f t="shared" si="4"/>
        <v>1555744.9504104659</v>
      </c>
      <c r="J29" s="517">
        <f>+'ตารางที่3 จาก ต.2-สูตร-ปี61ฐาน'!J29</f>
        <v>8.9</v>
      </c>
      <c r="K29" s="518">
        <f>+'ตารางที่3 จาก ต.2-สูตร-ปี61ฐาน'!K29</f>
        <v>8.57</v>
      </c>
    </row>
    <row r="30" spans="1:12" x14ac:dyDescent="0.2">
      <c r="A30" s="256">
        <v>904</v>
      </c>
      <c r="B30" s="519" t="s">
        <v>40</v>
      </c>
      <c r="C30" s="481">
        <f>+'ตารางที่3 จาก ต.2-สูตร-ปี61ฐาน'!C30</f>
        <v>6210660.2295400016</v>
      </c>
      <c r="D30" s="481">
        <f>+'ตารางที่3 จาก ต.2-สูตร-ปี61ฐาน'!D30</f>
        <v>340182.16248088889</v>
      </c>
      <c r="E30" s="481">
        <f>+'ตารางที่3 จาก ต.2-สูตร-ปี61ฐาน'!E30</f>
        <v>151386.729234</v>
      </c>
      <c r="F30" s="160">
        <f t="shared" si="3"/>
        <v>6702229.1212548902</v>
      </c>
      <c r="G30" s="193">
        <f>+'ตารางที่3 จาก ต.2-สูตร-ปี61ฐาน'!G30</f>
        <v>3</v>
      </c>
      <c r="H30" s="482" t="str">
        <f>+'ตารางที่3 จาก ต.2-สูตร-ปี61ฐาน'!H30</f>
        <v>เรื่อง</v>
      </c>
      <c r="I30" s="483">
        <f t="shared" si="4"/>
        <v>2234076.3737516301</v>
      </c>
      <c r="J30" s="517">
        <f>+'ตารางที่3 จาก ต.2-สูตร-ปี61ฐาน'!J30</f>
        <v>8.56</v>
      </c>
      <c r="K30" s="518">
        <f>+'ตารางที่3 จาก ต.2-สูตร-ปี61ฐาน'!K30</f>
        <v>9.23</v>
      </c>
    </row>
    <row r="31" spans="1:12" x14ac:dyDescent="0.2">
      <c r="A31" s="256">
        <v>905</v>
      </c>
      <c r="B31" s="519" t="s">
        <v>480</v>
      </c>
      <c r="C31" s="481">
        <f>+'ตารางที่3 จาก ต.2-สูตร-ปี61ฐาน'!C31</f>
        <v>10093163.970000003</v>
      </c>
      <c r="D31" s="481">
        <f>+'ตารางที่3 จาก ต.2-สูตร-ปี61ฐาน'!D31</f>
        <v>552842.08420512814</v>
      </c>
      <c r="E31" s="481">
        <f>+'ตารางที่3 จาก ต.2-สูตร-ปี61ฐาน'!E31</f>
        <v>246023.93700000001</v>
      </c>
      <c r="F31" s="160">
        <f t="shared" si="3"/>
        <v>10892029.991205132</v>
      </c>
      <c r="G31" s="193">
        <f>+'ตารางที่3 จาก ต.2-สูตร-ปี61ฐาน'!G31</f>
        <v>7</v>
      </c>
      <c r="H31" s="482" t="str">
        <f>+'ตารางที่3 จาก ต.2-สูตร-ปี61ฐาน'!H31</f>
        <v>สินค้า</v>
      </c>
      <c r="I31" s="483">
        <f t="shared" si="4"/>
        <v>1556004.2844578759</v>
      </c>
      <c r="J31" s="517">
        <f>+'ตารางที่3 จาก ต.2-สูตร-ปี61ฐาน'!J31</f>
        <v>15.56</v>
      </c>
      <c r="K31" s="518">
        <f>+'ตารางที่3 จาก ต.2-สูตร-ปี61ฐาน'!K31</f>
        <v>15</v>
      </c>
    </row>
    <row r="32" spans="1:12" x14ac:dyDescent="0.2">
      <c r="A32" s="256">
        <v>906</v>
      </c>
      <c r="B32" s="519" t="s">
        <v>41</v>
      </c>
      <c r="C32" s="481">
        <f>+'ตารางที่3 จาก ต.2-สูตร-ปี61ฐาน'!C32</f>
        <v>4138197.2277000011</v>
      </c>
      <c r="D32" s="481">
        <f>+'ตารางที่3 จาก ต.2-สูตร-ปี61ฐาน'!D32</f>
        <v>226665.25452410258</v>
      </c>
      <c r="E32" s="481">
        <f>+'ตารางที่3 จาก ต.2-สูตร-ปี61ฐาน'!E32</f>
        <v>100869.81417</v>
      </c>
      <c r="F32" s="160">
        <f t="shared" si="3"/>
        <v>4465732.2963941041</v>
      </c>
      <c r="G32" s="193">
        <f>+'ตารางที่3 จาก ต.2-สูตร-ปี61ฐาน'!G32</f>
        <v>2</v>
      </c>
      <c r="H32" s="482" t="str">
        <f>+'ตารางที่3 จาก ต.2-สูตร-ปี61ฐาน'!H32</f>
        <v>เรื่อง</v>
      </c>
      <c r="I32" s="483">
        <f t="shared" si="4"/>
        <v>2232866.1481970521</v>
      </c>
      <c r="J32" s="517">
        <f>+'ตารางที่3 จาก ต.2-สูตร-ปี61ฐาน'!J32</f>
        <v>5.71</v>
      </c>
      <c r="K32" s="518">
        <f>+'ตารางที่3 จาก ต.2-สูตร-ปี61ฐาน'!K32</f>
        <v>6.15</v>
      </c>
    </row>
    <row r="33" spans="1:13" x14ac:dyDescent="0.2">
      <c r="A33" s="256">
        <v>907</v>
      </c>
      <c r="B33" s="519" t="s">
        <v>481</v>
      </c>
      <c r="C33" s="481">
        <f>+'ตารางที่3 จาก ต.2-สูตร-ปี61ฐาน'!C33</f>
        <v>2886644.8954200004</v>
      </c>
      <c r="D33" s="481">
        <f>+'ตารางที่3 จาก ต.2-สูตร-ปี61ฐาน'!D33</f>
        <v>158112.83608266668</v>
      </c>
      <c r="E33" s="481">
        <f>+'ตารางที่3 จาก ต.2-สูตร-ปี61ฐาน'!E33</f>
        <v>70362.845981999984</v>
      </c>
      <c r="F33" s="160">
        <f t="shared" si="3"/>
        <v>3115120.5774846668</v>
      </c>
      <c r="G33" s="193">
        <f>+'ตารางที่3 จาก ต.2-สูตร-ปี61ฐาน'!G33</f>
        <v>2</v>
      </c>
      <c r="H33" s="482" t="str">
        <f>+'ตารางที่3 จาก ต.2-สูตร-ปี61ฐาน'!H33</f>
        <v>สินค้า</v>
      </c>
      <c r="I33" s="483">
        <f t="shared" si="4"/>
        <v>1557560.2887423334</v>
      </c>
      <c r="J33" s="517">
        <f>+'ตารางที่3 จาก ต.2-สูตร-ปี61ฐาน'!J33</f>
        <v>4.4400000000000004</v>
      </c>
      <c r="K33" s="518">
        <f>+'ตารางที่3 จาก ต.2-สูตร-ปี61ฐาน'!K33</f>
        <v>4.29</v>
      </c>
    </row>
    <row r="34" spans="1:13" x14ac:dyDescent="0.2">
      <c r="A34" s="256">
        <v>908</v>
      </c>
      <c r="B34" s="519" t="s">
        <v>42</v>
      </c>
      <c r="C34" s="481">
        <f>+'ตารางที่3 จาก ต.2-สูตร-ปี61ฐาน'!C34</f>
        <v>4138197.2277000011</v>
      </c>
      <c r="D34" s="481">
        <f>+'ตารางที่3 จาก ต.2-สูตร-ปี61ฐาน'!D34</f>
        <v>226665.25452410258</v>
      </c>
      <c r="E34" s="481">
        <f>+'ตารางที่3 จาก ต.2-สูตร-ปี61ฐาน'!E34</f>
        <v>100869.81417</v>
      </c>
      <c r="F34" s="160">
        <f t="shared" si="3"/>
        <v>4465732.2963941041</v>
      </c>
      <c r="G34" s="193">
        <f>+'ตารางที่3 จาก ต.2-สูตร-ปี61ฐาน'!G34</f>
        <v>2</v>
      </c>
      <c r="H34" s="482" t="str">
        <f>+'ตารางที่3 จาก ต.2-สูตร-ปี61ฐาน'!H34</f>
        <v>เรื่อง</v>
      </c>
      <c r="I34" s="483">
        <f t="shared" si="4"/>
        <v>2232866.1481970521</v>
      </c>
      <c r="J34" s="517">
        <f>+'ตารางที่3 จาก ต.2-สูตร-ปี61ฐาน'!J34</f>
        <v>5.71</v>
      </c>
      <c r="K34" s="518">
        <f>+'ตารางที่3 จาก ต.2-สูตร-ปี61ฐาน'!K34</f>
        <v>6.15</v>
      </c>
    </row>
    <row r="35" spans="1:13" x14ac:dyDescent="0.2">
      <c r="A35" s="256">
        <v>909</v>
      </c>
      <c r="B35" s="519" t="s">
        <v>482</v>
      </c>
      <c r="C35" s="481">
        <f>+'ตารางที่3 จาก ต.2-สูตร-ปี61ฐาน'!C35</f>
        <v>5766561.0148600014</v>
      </c>
      <c r="D35" s="481">
        <f>+'ตารางที่3 จาก ต.2-สูตร-ปี61ฐาน'!D35</f>
        <v>315857.11077586323</v>
      </c>
      <c r="E35" s="481">
        <f>+'ตารางที่3 จาก ต.2-สูตร-ปี61ฐาน'!E35</f>
        <v>140561.67600599999</v>
      </c>
      <c r="F35" s="160">
        <f t="shared" si="3"/>
        <v>6222979.8016418638</v>
      </c>
      <c r="G35" s="193">
        <f>+'ตารางที่3 จาก ต.2-สูตร-ปี61ฐาน'!G35</f>
        <v>4</v>
      </c>
      <c r="H35" s="482" t="str">
        <f>+'ตารางที่3 จาก ต.2-สูตร-ปี61ฐาน'!H35</f>
        <v>เรื่อง</v>
      </c>
      <c r="I35" s="483">
        <f t="shared" si="4"/>
        <v>1555744.9504104659</v>
      </c>
      <c r="J35" s="517">
        <f>+'ตารางที่3 จาก ต.2-สูตร-ปี61ฐาน'!J35</f>
        <v>8.9</v>
      </c>
      <c r="K35" s="518">
        <f>+'ตารางที่3 จาก ต.2-สูตร-ปี61ฐาน'!K35</f>
        <v>8.57</v>
      </c>
    </row>
    <row r="36" spans="1:13" x14ac:dyDescent="0.2">
      <c r="A36" s="256">
        <v>910</v>
      </c>
      <c r="B36" s="681" t="s">
        <v>415</v>
      </c>
      <c r="C36" s="481">
        <f>+'ตารางที่3 จาก ต.2-สูตร-ปี61ฐาน'!C36</f>
        <v>2072463.0018400005</v>
      </c>
      <c r="D36" s="481">
        <f>+'ตารางที่3 จาก ต.2-สูตร-ปี61ฐาน'!D36</f>
        <v>113516.90795678632</v>
      </c>
      <c r="E36" s="481">
        <f>+'ตารางที่3 จาก ต.2-สูตร-ปี61ฐาน'!E36</f>
        <v>50516.915063999993</v>
      </c>
      <c r="F36" s="160">
        <f t="shared" si="3"/>
        <v>2236496.824860787</v>
      </c>
      <c r="G36" s="193">
        <f>+'ตารางที่3 จาก ต.2-สูตร-ปี61ฐาน'!G36</f>
        <v>1</v>
      </c>
      <c r="H36" s="482" t="str">
        <f>+'ตารางที่3 จาก ต.2-สูตร-ปี61ฐาน'!H36</f>
        <v>เรื่อง</v>
      </c>
      <c r="I36" s="483">
        <f t="shared" si="4"/>
        <v>2236496.824860787</v>
      </c>
      <c r="J36" s="517">
        <f>+'ตารางที่3 จาก ต.2-สูตร-ปี61ฐาน'!J36</f>
        <v>5.71</v>
      </c>
      <c r="K36" s="518">
        <f>+'ตารางที่3 จาก ต.2-สูตร-ปี61ฐาน'!K36</f>
        <v>3.08</v>
      </c>
    </row>
    <row r="37" spans="1:13" x14ac:dyDescent="0.2">
      <c r="A37" s="256">
        <v>911</v>
      </c>
      <c r="B37" s="519" t="s">
        <v>483</v>
      </c>
      <c r="C37" s="481">
        <f>+'ตารางที่3 จาก ต.2-สูตร-ปี61ฐาน'!C37</f>
        <v>4326602.9551400002</v>
      </c>
      <c r="D37" s="481">
        <f>+'ตารางที่3 จาก ต.2-สูตร-ปี61ฐาน'!D37</f>
        <v>236984.97342926494</v>
      </c>
      <c r="E37" s="481">
        <f>+'ตารางที่3 จาก ต.2-สูตร-ปี61ฐาน'!E37</f>
        <v>105462.26099399998</v>
      </c>
      <c r="F37" s="160">
        <f t="shared" si="3"/>
        <v>4669050.1895632651</v>
      </c>
      <c r="G37" s="193">
        <f>+'ตารางที่3 จาก ต.2-สูตร-ปี61ฐาน'!G37</f>
        <v>3</v>
      </c>
      <c r="H37" s="482" t="str">
        <f>+'ตารางที่3 จาก ต.2-สูตร-ปี61ฐาน'!H37</f>
        <v>สินค้า</v>
      </c>
      <c r="I37" s="483">
        <f t="shared" si="4"/>
        <v>1556350.0631877549</v>
      </c>
      <c r="J37" s="517">
        <f>+'ตารางที่3 จาก ต.2-สูตร-ปี61ฐาน'!J37</f>
        <v>6.67</v>
      </c>
      <c r="K37" s="518">
        <f>+'ตารางที่3 จาก ต.2-สูตร-ปี61ฐาน'!K37</f>
        <v>6.43</v>
      </c>
    </row>
    <row r="38" spans="1:13" x14ac:dyDescent="0.2">
      <c r="A38" s="256">
        <v>912</v>
      </c>
      <c r="B38" s="519" t="s">
        <v>181</v>
      </c>
      <c r="C38" s="481">
        <f>+'ตารางที่3 จาก ต.2-สูตร-ปี61ฐาน'!C38</f>
        <v>2072463.0018400005</v>
      </c>
      <c r="D38" s="481">
        <f>+'ตารางที่3 จาก ต.2-สูตร-ปี61ฐาน'!D38</f>
        <v>113516.90795678632</v>
      </c>
      <c r="E38" s="481">
        <f>+'ตารางที่3 จาก ต.2-สูตร-ปี61ฐาน'!E38</f>
        <v>50516.915063999993</v>
      </c>
      <c r="F38" s="160">
        <f t="shared" si="3"/>
        <v>2236496.824860787</v>
      </c>
      <c r="G38" s="193">
        <f>+'ตารางที่3 จาก ต.2-สูตร-ปี61ฐาน'!G38</f>
        <v>1</v>
      </c>
      <c r="H38" s="482" t="str">
        <f>+'ตารางที่3 จาก ต.2-สูตร-ปี61ฐาน'!H38</f>
        <v>เรื่อง</v>
      </c>
      <c r="I38" s="483">
        <f t="shared" si="4"/>
        <v>2236496.824860787</v>
      </c>
      <c r="J38" s="517">
        <f>+'ตารางที่3 จาก ต.2-สูตร-ปี61ฐาน'!J38</f>
        <v>2.86</v>
      </c>
      <c r="K38" s="518">
        <f>+'ตารางที่3 จาก ต.2-สูตร-ปี61ฐาน'!K38</f>
        <v>3.08</v>
      </c>
    </row>
    <row r="39" spans="1:13" ht="24" customHeight="1" x14ac:dyDescent="0.2">
      <c r="A39" s="256">
        <v>913</v>
      </c>
      <c r="B39" s="519" t="s">
        <v>565</v>
      </c>
      <c r="C39" s="481">
        <f>+'ตารางที่3 จาก ต.2-สูตร-ปี61ฐาน'!C39</f>
        <v>4138197.2277000011</v>
      </c>
      <c r="D39" s="481">
        <f>+'ตารางที่3 จาก ต.2-สูตร-ปี61ฐาน'!D39</f>
        <v>226665.25452410258</v>
      </c>
      <c r="E39" s="481">
        <f>+'ตารางที่3 จาก ต.2-สูตร-ปี61ฐาน'!E39</f>
        <v>100869.81417</v>
      </c>
      <c r="F39" s="160">
        <f>SUM(C39:E39)</f>
        <v>4465732.2963941041</v>
      </c>
      <c r="G39" s="193">
        <f>+'ตารางที่3 จาก ต.2-สูตร-ปี61ฐาน'!G39</f>
        <v>2</v>
      </c>
      <c r="H39" s="482" t="str">
        <f>+'ตารางที่3 จาก ต.2-สูตร-ปี61ฐาน'!H39</f>
        <v>เรื่อง</v>
      </c>
      <c r="I39" s="483">
        <f t="shared" si="4"/>
        <v>2232866.1481970521</v>
      </c>
      <c r="J39" s="517">
        <f>+'ตารางที่3 จาก ต.2-สูตร-ปี61ฐาน'!J39</f>
        <v>5.71</v>
      </c>
      <c r="K39" s="518">
        <f>+'ตารางที่3 จาก ต.2-สูตร-ปี61ฐาน'!K39</f>
        <v>6.15</v>
      </c>
    </row>
    <row r="40" spans="1:13" ht="24" customHeight="1" thickBot="1" x14ac:dyDescent="0.25">
      <c r="A40" s="1022">
        <v>914</v>
      </c>
      <c r="B40" s="936" t="s">
        <v>484</v>
      </c>
      <c r="C40" s="252">
        <f>+'ตารางที่3 จาก ต.2-สูตร-ปี61ฐาน'!C40</f>
        <v>1439958.0597200003</v>
      </c>
      <c r="D40" s="252">
        <f>+'ตารางที่3 จาก ต.2-สูตร-ปี61ฐาน'!D40</f>
        <v>78872.137346598291</v>
      </c>
      <c r="E40" s="252">
        <f>+'ตารางที่3 จาก ต.2-สูตร-ปี61ฐาน'!E40</f>
        <v>35099.415011999998</v>
      </c>
      <c r="F40" s="168">
        <f t="shared" si="3"/>
        <v>1553929.6120785985</v>
      </c>
      <c r="G40" s="188">
        <f>+'ตารางที่3 จาก ต.2-สูตร-ปี61ฐาน'!G40</f>
        <v>1</v>
      </c>
      <c r="H40" s="253" t="str">
        <f>+'ตารางที่3 จาก ต.2-สูตร-ปี61ฐาน'!H40</f>
        <v>สินค้า</v>
      </c>
      <c r="I40" s="521">
        <f t="shared" si="4"/>
        <v>1553929.6120785985</v>
      </c>
      <c r="J40" s="699">
        <f>+'ตารางที่3 จาก ต.2-สูตร-ปี61ฐาน'!J40</f>
        <v>0</v>
      </c>
      <c r="K40" s="700">
        <f>+'ตารางที่3 จาก ต.2-สูตร-ปี61ฐาน'!K40</f>
        <v>2.14</v>
      </c>
    </row>
    <row r="41" spans="1:13" s="126" customFormat="1" ht="22.5" customHeight="1" x14ac:dyDescent="0.2">
      <c r="A41" s="506" t="s">
        <v>92</v>
      </c>
      <c r="B41" s="507"/>
      <c r="C41" s="508">
        <f>SUM(C42:C51)</f>
        <v>79076444.241841897</v>
      </c>
      <c r="D41" s="508">
        <f>SUM(D42:D51)</f>
        <v>3238447.2520048423</v>
      </c>
      <c r="E41" s="508">
        <f>SUM(E42:E51)</f>
        <v>17433240.096608885</v>
      </c>
      <c r="F41" s="508">
        <f>SUM(F42:F51)</f>
        <v>99748131.590455636</v>
      </c>
      <c r="G41" s="509"/>
      <c r="H41" s="534"/>
      <c r="I41" s="511"/>
      <c r="J41" s="508">
        <f>SUM(J42:J51)</f>
        <v>97.195266272189343</v>
      </c>
      <c r="K41" s="513">
        <f>SUM(K42:K51)</f>
        <v>97.195266272189343</v>
      </c>
      <c r="L41" s="259">
        <f>+'[3]ตารางที่3 จาก ต.2-สูตร-ปี61ไม่'!F41</f>
        <v>116733150.32744965</v>
      </c>
      <c r="M41" s="259">
        <f>+'[3]ตารางที่3 จาก ต.2-สูตร-ปี61ไม่'!F50+'[3]ตารางที่3 จาก ต.2-สูตร-ปี61ไม่'!F51</f>
        <v>16985018.736994006</v>
      </c>
    </row>
    <row r="42" spans="1:13" ht="22.5" customHeight="1" x14ac:dyDescent="0.2">
      <c r="A42" s="133">
        <v>700</v>
      </c>
      <c r="B42" s="541" t="s">
        <v>151</v>
      </c>
      <c r="C42" s="481">
        <f>+'ตารางที่3 จาก ต.2-สูตร-ปี61ฐาน'!C42</f>
        <v>27631032.31385183</v>
      </c>
      <c r="D42" s="481">
        <f>+'ตารางที่3 จาก ต.2-สูตร-ปี61ฐาน'!D42</f>
        <v>1131584.0200551508</v>
      </c>
      <c r="E42" s="481">
        <f>+'ตารางที่3 จาก ต.2-สูตร-ปี61ฐาน'!E42</f>
        <v>6091553.876288929</v>
      </c>
      <c r="F42" s="192">
        <f t="shared" ref="F42:F53" si="5">SUM(C42:E42)</f>
        <v>34854170.210195914</v>
      </c>
      <c r="G42" s="193">
        <f>+'ตารางที่3 จาก ต.2-สูตร-ปี61ฐาน'!G42</f>
        <v>50</v>
      </c>
      <c r="H42" s="482" t="str">
        <f>+'ตารางที่3 จาก ต.2-สูตร-ปี61ฐาน'!H42</f>
        <v>สินค้า</v>
      </c>
      <c r="I42" s="516">
        <f t="shared" ref="I42:I51" si="6">+F42/G42</f>
        <v>697083.4042039183</v>
      </c>
      <c r="J42" s="517">
        <f>+'ตารางที่3 จาก ต.2-สูตร-ปี61ฐาน'!J42</f>
        <v>29.857988165680471</v>
      </c>
      <c r="K42" s="518">
        <f>+'ตารางที่3 จาก ต.2-สูตร-ปี61ฐาน'!K42</f>
        <v>29.857988165680471</v>
      </c>
    </row>
    <row r="43" spans="1:13" ht="22.5" customHeight="1" x14ac:dyDescent="0.2">
      <c r="A43" s="128">
        <v>701</v>
      </c>
      <c r="B43" s="519" t="s">
        <v>152</v>
      </c>
      <c r="C43" s="481">
        <f>+'ตารางที่3 จาก ต.2-สูตร-ปี61ฐาน'!C43</f>
        <v>1505852.9303030625</v>
      </c>
      <c r="D43" s="481">
        <f>+'ตารางที่3 จาก ต.2-สูตร-ปี61ฐาน'!D43</f>
        <v>61669.759317314012</v>
      </c>
      <c r="E43" s="481">
        <f>+'ตารางที่3 จาก ต.2-สูตร-ปี61ฐาน'!E43</f>
        <v>331981.23582628922</v>
      </c>
      <c r="F43" s="160">
        <f t="shared" si="5"/>
        <v>1899503.9254466658</v>
      </c>
      <c r="G43" s="161">
        <f>+'ตารางที่3 จาก ต.2-สูตร-ปี61ฐาน'!G43</f>
        <v>10</v>
      </c>
      <c r="H43" s="234" t="str">
        <f>+'ตารางที่3 จาก ต.2-สูตร-ปี61ฐาน'!H43</f>
        <v>ครั้ง</v>
      </c>
      <c r="I43" s="483">
        <f t="shared" si="6"/>
        <v>189950.3925446666</v>
      </c>
      <c r="J43" s="517">
        <f>+'ตารางที่3 จาก ต.2-สูตร-ปี61ฐาน'!J43</f>
        <v>1.6272189349112427</v>
      </c>
      <c r="K43" s="518">
        <f>+'ตารางที่3 จาก ต.2-สูตร-ปี61ฐาน'!K43</f>
        <v>1.6272189349112427</v>
      </c>
    </row>
    <row r="44" spans="1:13" ht="22.5" customHeight="1" x14ac:dyDescent="0.2">
      <c r="A44" s="128">
        <v>702</v>
      </c>
      <c r="B44" s="519" t="s">
        <v>153</v>
      </c>
      <c r="C44" s="481">
        <f>+'ตารางที่3 จาก ต.2-สูตร-ปี61ฐาน'!C44</f>
        <v>520203.73955923977</v>
      </c>
      <c r="D44" s="481">
        <f>+'ตารางที่3 จาก ต.2-สูตร-ปี61ฐาน'!D44</f>
        <v>21304.098673253931</v>
      </c>
      <c r="E44" s="481">
        <f>+'ตารางที่3 จาก ต.2-สูตร-ปี61ฐาน'!E44</f>
        <v>114684.426921809</v>
      </c>
      <c r="F44" s="160">
        <f t="shared" si="5"/>
        <v>656192.2651543027</v>
      </c>
      <c r="G44" s="161">
        <f>+'ตารางที่3 จาก ต.2-สูตร-ปี61ฐาน'!G44</f>
        <v>10</v>
      </c>
      <c r="H44" s="234" t="str">
        <f>+'ตารางที่3 จาก ต.2-สูตร-ปี61ฐาน'!H44</f>
        <v>ครั้ง</v>
      </c>
      <c r="I44" s="483">
        <f t="shared" si="6"/>
        <v>65619.226515430273</v>
      </c>
      <c r="J44" s="517">
        <f>+'ตารางที่3 จาก ต.2-สูตร-ปี61ฐาน'!J44</f>
        <v>0.56213017751479288</v>
      </c>
      <c r="K44" s="518">
        <f>+'ตารางที่3 จาก ต.2-สูตร-ปี61ฐาน'!K44</f>
        <v>0.56213017751479288</v>
      </c>
    </row>
    <row r="45" spans="1:13" ht="22.5" customHeight="1" x14ac:dyDescent="0.2">
      <c r="A45" s="128">
        <v>703</v>
      </c>
      <c r="B45" s="519" t="s">
        <v>490</v>
      </c>
      <c r="C45" s="481">
        <f>+'ตารางที่3 จาก ต.2-สูตร-ปี61ฐาน'!C45</f>
        <v>10979036.81911869</v>
      </c>
      <c r="D45" s="481">
        <f>+'ตารางที่3 จาก ต.2-สูตร-ปี61ฐาน'!D45</f>
        <v>449628.60884078033</v>
      </c>
      <c r="E45" s="481">
        <f>+'ตารางที่3 จาก ต.2-สูตร-ปี61ฐาน'!E45</f>
        <v>2420445.0102971266</v>
      </c>
      <c r="F45" s="160">
        <f t="shared" si="5"/>
        <v>13849110.438256597</v>
      </c>
      <c r="G45" s="161">
        <f>+'ตารางที่3 จาก ต.2-สูตร-ปี61ฐาน'!G45</f>
        <v>220</v>
      </c>
      <c r="H45" s="234" t="str">
        <f>+'ตารางที่3 จาก ต.2-สูตร-ปี61ฐาน'!H45</f>
        <v>สินค้า</v>
      </c>
      <c r="I45" s="483">
        <f t="shared" si="6"/>
        <v>62950.501992075442</v>
      </c>
      <c r="J45" s="517">
        <f>+'ตารางที่3 จาก ต.2-สูตร-ปี61ฐาน'!J45</f>
        <v>11.863905325443787</v>
      </c>
      <c r="K45" s="518">
        <f>+'ตารางที่3 จาก ต.2-สูตร-ปี61ฐาน'!K45</f>
        <v>11.863905325443787</v>
      </c>
    </row>
    <row r="46" spans="1:13" ht="22.5" customHeight="1" x14ac:dyDescent="0.2">
      <c r="A46" s="128">
        <v>704</v>
      </c>
      <c r="B46" s="519" t="s">
        <v>155</v>
      </c>
      <c r="C46" s="481">
        <f>+'ตารางที่3 จาก ต.2-สูตร-ปี61ฐาน'!C46</f>
        <v>9746975.3306889124</v>
      </c>
      <c r="D46" s="481">
        <f>+'ตารางที่3 จาก ต.2-สูตร-ปี61ฐาน'!D46</f>
        <v>399171.53303570522</v>
      </c>
      <c r="E46" s="481">
        <f>+'ตารางที่3 จาก ต.2-สูตร-ปี61ฐาน'!E46</f>
        <v>2148823.9991665264</v>
      </c>
      <c r="F46" s="160">
        <f t="shared" si="5"/>
        <v>12294970.862891143</v>
      </c>
      <c r="G46" s="161">
        <f>+'ตารางที่3 จาก ต.2-สูตร-ปี61ฐาน'!G46</f>
        <v>6</v>
      </c>
      <c r="H46" s="234" t="str">
        <f>+'ตารางที่3 จาก ต.2-สูตร-ปี61ฐาน'!H46</f>
        <v>ครั้ง</v>
      </c>
      <c r="I46" s="483">
        <f t="shared" si="6"/>
        <v>2049161.8104818573</v>
      </c>
      <c r="J46" s="517">
        <f>+'ตารางที่3 จาก ต.2-สูตร-ปี61ฐาน'!J46</f>
        <v>10.532544378698224</v>
      </c>
      <c r="K46" s="518">
        <f>+'ตารางที่3 จาก ต.2-สูตร-ปี61ฐาน'!K46</f>
        <v>10.532544378698224</v>
      </c>
    </row>
    <row r="47" spans="1:13" ht="22.5" customHeight="1" x14ac:dyDescent="0.2">
      <c r="A47" s="128">
        <v>705</v>
      </c>
      <c r="B47" s="519" t="s">
        <v>156</v>
      </c>
      <c r="C47" s="481">
        <f>+'ตารางที่3 จาก ต.2-สูตร-ปี61ฐาน'!C47</f>
        <v>9582700.4655649439</v>
      </c>
      <c r="D47" s="481">
        <f>+'ตารางที่3 จาก ต.2-สูตร-ปี61ฐาน'!D47</f>
        <v>392443.92292836192</v>
      </c>
      <c r="E47" s="481">
        <f>+'ตารางที่3 จาก ต.2-สูตร-ปี61ฐาน'!E47</f>
        <v>2112607.8643491133</v>
      </c>
      <c r="F47" s="160">
        <f t="shared" si="5"/>
        <v>12087752.252842419</v>
      </c>
      <c r="G47" s="161">
        <f>+'ตารางที่3 จาก ต.2-สูตร-ปี61ฐาน'!G47</f>
        <v>77</v>
      </c>
      <c r="H47" s="234" t="str">
        <f>+'ตารางที่3 จาก ต.2-สูตร-ปี61ฐาน'!H47</f>
        <v>จังหวัด</v>
      </c>
      <c r="I47" s="483">
        <f t="shared" si="6"/>
        <v>156983.79549145998</v>
      </c>
      <c r="J47" s="517">
        <f>+'ตารางที่3 จาก ต.2-สูตร-ปี61ฐาน'!J47</f>
        <v>10.355029585798817</v>
      </c>
      <c r="K47" s="518">
        <f>+'ตารางที่3 จาก ต.2-สูตร-ปี61ฐาน'!K47</f>
        <v>10.355029585798817</v>
      </c>
    </row>
    <row r="48" spans="1:13" ht="22.5" customHeight="1" x14ac:dyDescent="0.2">
      <c r="A48" s="128">
        <v>706</v>
      </c>
      <c r="B48" s="864" t="s">
        <v>485</v>
      </c>
      <c r="C48" s="481">
        <f>+'ตารางที่3 จาก ต.2-สูตร-ปี61ฐาน'!C48</f>
        <v>7009060.9119560728</v>
      </c>
      <c r="D48" s="481">
        <f>+'ตารางที่3 จาก ต.2-สูตร-ปี61ฐาน'!D48</f>
        <v>287044.69791331614</v>
      </c>
      <c r="E48" s="481">
        <f>+'ตารางที่3 จาก ต.2-สูตร-ปี61ฐาน'!E48</f>
        <v>1545221.7522096371</v>
      </c>
      <c r="F48" s="160">
        <f t="shared" si="5"/>
        <v>8841327.3620790262</v>
      </c>
      <c r="G48" s="161">
        <f>+'ตารางที่3 จาก ต.2-สูตร-ปี61ฐาน'!G48</f>
        <v>77</v>
      </c>
      <c r="H48" s="234" t="str">
        <f>+'ตารางที่3 จาก ต.2-สูตร-ปี61ฐาน'!H48</f>
        <v>จังหวัด</v>
      </c>
      <c r="I48" s="483">
        <f t="shared" si="6"/>
        <v>114822.43327375359</v>
      </c>
      <c r="J48" s="517">
        <f>+'ตารางที่3 จาก ต.2-สูตร-ปี61ฐาน'!J48</f>
        <v>7.5739644970414206</v>
      </c>
      <c r="K48" s="518">
        <f>+'ตารางที่3 จาก ต.2-สูตร-ปี61ฐาน'!K48</f>
        <v>7.5739644970414206</v>
      </c>
    </row>
    <row r="49" spans="1:12" ht="22.5" customHeight="1" x14ac:dyDescent="0.2">
      <c r="A49" s="128">
        <v>707</v>
      </c>
      <c r="B49" s="519" t="s">
        <v>158</v>
      </c>
      <c r="C49" s="481">
        <f>+'ตารางที่3 จาก ต.2-สูตร-ปี61ฐาน'!C49</f>
        <v>9506038.8618404251</v>
      </c>
      <c r="D49" s="481">
        <f>+'ตารางที่3 จาก ต.2-สูตร-ปี61ฐาน'!D49</f>
        <v>389304.37154493504</v>
      </c>
      <c r="E49" s="481">
        <f>+'ตารางที่3 จาก ต.2-สูตร-ปี61ฐาน'!E49</f>
        <v>2095707.0014343206</v>
      </c>
      <c r="F49" s="160">
        <f t="shared" si="5"/>
        <v>11991050.23481968</v>
      </c>
      <c r="G49" s="161">
        <f>+'ตารางที่3 จาก ต.2-สูตร-ปี61ฐาน'!G49</f>
        <v>15</v>
      </c>
      <c r="H49" s="234" t="str">
        <f>+'ตารางที่3 จาก ต.2-สูตร-ปี61ฐาน'!H49</f>
        <v>เล่ม</v>
      </c>
      <c r="I49" s="483">
        <f t="shared" si="6"/>
        <v>799403.34898797865</v>
      </c>
      <c r="J49" s="517">
        <f>+'ตารางที่3 จาก ต.2-สูตร-ปี61ฐาน'!J49</f>
        <v>10.272189349112427</v>
      </c>
      <c r="K49" s="518">
        <f>+'ตารางที่3 จาก ต.2-สูตร-ปี61ฐาน'!K49</f>
        <v>10.272189349112427</v>
      </c>
    </row>
    <row r="50" spans="1:12" ht="22.5" customHeight="1" x14ac:dyDescent="0.2">
      <c r="A50" s="1023">
        <v>506</v>
      </c>
      <c r="B50" s="1024" t="s">
        <v>544</v>
      </c>
      <c r="C50" s="481">
        <f>+'ตารางที่3 จาก ต.2-สูตร-ปี61ฐาน'!C52</f>
        <v>1199206.5154049841</v>
      </c>
      <c r="D50" s="481">
        <f>+'ตารางที่3 จาก ต.2-สูตร-ปี61ฐาน'!D52</f>
        <v>49111.553783606432</v>
      </c>
      <c r="E50" s="481">
        <f>+'ตารางที่3 จาก ต.2-สูตร-ปี61ฐาน'!E52</f>
        <v>264377.78416711761</v>
      </c>
      <c r="F50" s="160">
        <f t="shared" si="5"/>
        <v>1512695.8533557083</v>
      </c>
      <c r="G50" s="234">
        <f>+'ตารางที่3 จาก ต.2-สูตร-ปี61ฐาน'!G52</f>
        <v>882</v>
      </c>
      <c r="H50" s="234" t="str">
        <f>+'ตารางที่3 จาก ต.2-สูตร-ปี61ฐาน'!H52</f>
        <v>ศูนย์</v>
      </c>
      <c r="I50" s="483">
        <f t="shared" si="6"/>
        <v>1715.0746636686035</v>
      </c>
      <c r="J50" s="517">
        <f>+'ตารางที่3 จาก ต.2-สูตร-ปี61ฐาน'!J50</f>
        <v>6.8639053254437865</v>
      </c>
      <c r="K50" s="518">
        <f>+'ตารางที่3 จาก ต.2-สูตร-ปี61ฐาน'!K50</f>
        <v>6.8639053254437865</v>
      </c>
    </row>
    <row r="51" spans="1:12" ht="22.5" customHeight="1" thickBot="1" x14ac:dyDescent="0.55000000000000004">
      <c r="A51" s="187">
        <v>710</v>
      </c>
      <c r="B51" s="542" t="s">
        <v>221</v>
      </c>
      <c r="C51" s="481">
        <f>+'ตารางที่3 จาก ต.2-สูตร-ปี61ฐาน'!C53</f>
        <v>1396336.3535537487</v>
      </c>
      <c r="D51" s="481">
        <f>+'ตารางที่3 จาก ต.2-สูตร-ปี61ฐาน'!D53</f>
        <v>57184.685912418441</v>
      </c>
      <c r="E51" s="481">
        <f>+'ตารางที่3 จาก ต.2-สูตร-ปี61ฐาน'!E53</f>
        <v>307837.14594801364</v>
      </c>
      <c r="F51" s="168">
        <f t="shared" si="5"/>
        <v>1761358.1854141806</v>
      </c>
      <c r="G51" s="188">
        <f>+'ตารางที่3 จาก ต.2-สูตร-ปี61ฐาน'!G53</f>
        <v>1</v>
      </c>
      <c r="H51" s="253" t="str">
        <f>+'ตารางที่3 จาก ต.2-สูตร-ปี61ฐาน'!H53</f>
        <v>ระบบ</v>
      </c>
      <c r="I51" s="521">
        <f t="shared" si="6"/>
        <v>1761358.1854141806</v>
      </c>
      <c r="J51" s="517">
        <f>+'ตารางที่3 จาก ต.2-สูตร-ปี61ฐาน'!J51</f>
        <v>7.6863905325443795</v>
      </c>
      <c r="K51" s="518">
        <f>+'ตารางที่3 จาก ต.2-สูตร-ปี61ฐาน'!K51</f>
        <v>7.6863905325443795</v>
      </c>
    </row>
    <row r="52" spans="1:12" s="126" customFormat="1" ht="22.5" customHeight="1" x14ac:dyDescent="0.2">
      <c r="A52" s="543" t="s">
        <v>93</v>
      </c>
      <c r="B52" s="507"/>
      <c r="C52" s="508">
        <f>SUM(C53:C59)</f>
        <v>47930482.770000011</v>
      </c>
      <c r="D52" s="508">
        <f>SUM(D53:D59)</f>
        <v>2565065.727094017</v>
      </c>
      <c r="E52" s="508">
        <f>SUM(E53:E59)</f>
        <v>1525842.2300000004</v>
      </c>
      <c r="F52" s="508">
        <f t="shared" si="5"/>
        <v>52021390.727094024</v>
      </c>
      <c r="G52" s="509"/>
      <c r="H52" s="510"/>
      <c r="I52" s="511"/>
      <c r="J52" s="508">
        <f>SUM(J53:J59)</f>
        <v>100.00000000000001</v>
      </c>
      <c r="K52" s="513">
        <f>SUM(K53:K59)</f>
        <v>100.00000000000001</v>
      </c>
      <c r="L52" s="259">
        <f>+'[3]ตารางที่3 จาก ต.2-สูตร-ปี61ไม่'!F55</f>
        <v>52021390.727094024</v>
      </c>
    </row>
    <row r="53" spans="1:12" ht="22.5" customHeight="1" x14ac:dyDescent="0.2">
      <c r="A53" s="514">
        <v>600</v>
      </c>
      <c r="B53" s="515" t="s">
        <v>147</v>
      </c>
      <c r="C53" s="481">
        <f>+'ตารางที่3 จาก ต.2-สูตร-ปี61ฐาน'!C55</f>
        <v>19785703.287456006</v>
      </c>
      <c r="D53" s="481">
        <f>+'ตารางที่3 จาก ต.2-สูตร-ปี61ฐาน'!D55</f>
        <v>1058859.1321444102</v>
      </c>
      <c r="E53" s="481">
        <f>+'ตารางที่3 จาก ต.2-สูตร-ปี61ฐาน'!E55</f>
        <v>629867.6725440002</v>
      </c>
      <c r="F53" s="192">
        <f t="shared" si="5"/>
        <v>21474430.092144415</v>
      </c>
      <c r="G53" s="193">
        <f>+'ตารางที่3 จาก ต.2-สูตร-ปี61ฐาน'!G55</f>
        <v>21</v>
      </c>
      <c r="H53" s="544" t="str">
        <f>+'ตารางที่3 จาก ต.2-สูตร-ปี61ฐาน'!H55</f>
        <v>เรื่อง</v>
      </c>
      <c r="I53" s="516">
        <f t="shared" ref="I53:I59" si="7">+F53/G53</f>
        <v>1022591.9091497341</v>
      </c>
      <c r="J53" s="517">
        <f>+'ตารางที่3 จาก ต.2-สูตร-ปี61ฐาน'!J55</f>
        <v>41.28</v>
      </c>
      <c r="K53" s="518">
        <f>+'ตารางที่3 จาก ต.2-สูตร-ปี61ฐาน'!K55</f>
        <v>41.28</v>
      </c>
      <c r="L53" s="102">
        <v>41.28</v>
      </c>
    </row>
    <row r="54" spans="1:12" ht="22.5" customHeight="1" x14ac:dyDescent="0.2">
      <c r="A54" s="256">
        <v>601</v>
      </c>
      <c r="B54" s="519" t="s">
        <v>148</v>
      </c>
      <c r="C54" s="481">
        <f>+'ตารางที่3 จาก ต.2-สูตร-ปี61ฐาน'!C56</f>
        <v>13756048.554990003</v>
      </c>
      <c r="D54" s="481">
        <f>+'ตารางที่3 จาก ต.2-สูตร-ปี61ฐาน'!D56</f>
        <v>736173.86367598281</v>
      </c>
      <c r="E54" s="481">
        <f>+'ตารางที่3 จาก ต.2-สูตร-ปี61ฐาน'!E56</f>
        <v>437916.72001000011</v>
      </c>
      <c r="F54" s="160">
        <f t="shared" ref="F54:F59" si="8">SUM(C54:E54)</f>
        <v>14930139.138675986</v>
      </c>
      <c r="G54" s="193">
        <f>+'ตารางที่3 จาก ต.2-สูตร-ปี61ฐาน'!G56</f>
        <v>10</v>
      </c>
      <c r="H54" s="544" t="str">
        <f>+'ตารางที่3 จาก ต.2-สูตร-ปี61ฐาน'!H56</f>
        <v>เรื่อง</v>
      </c>
      <c r="I54" s="483">
        <f t="shared" si="7"/>
        <v>1493013.9138675986</v>
      </c>
      <c r="J54" s="517">
        <f>+'ตารางที่3 จาก ต.2-สูตร-ปี61ฐาน'!J56</f>
        <v>28.7</v>
      </c>
      <c r="K54" s="518">
        <f>+'ตารางที่3 จาก ต.2-สูตร-ปี61ฐาน'!K56</f>
        <v>28.7</v>
      </c>
      <c r="L54" s="102">
        <v>28.7</v>
      </c>
    </row>
    <row r="55" spans="1:12" ht="22.5" customHeight="1" x14ac:dyDescent="0.2">
      <c r="A55" s="256">
        <v>602</v>
      </c>
      <c r="B55" s="519" t="s">
        <v>149</v>
      </c>
      <c r="C55" s="481">
        <f>+'ตารางที่3 จาก ต.2-สูตร-ปี61ฐาน'!C57</f>
        <v>4304157.3527460005</v>
      </c>
      <c r="D55" s="481">
        <f>+'ตารางที่3 จาก ต.2-สูตร-ปี61ฐาน'!D57</f>
        <v>230342.90229304272</v>
      </c>
      <c r="E55" s="481">
        <f>+'ตารางที่3 จาก ต.2-สูตร-ปี61ฐาน'!E57</f>
        <v>137020.63225400005</v>
      </c>
      <c r="F55" s="160">
        <f t="shared" si="8"/>
        <v>4671520.8872930426</v>
      </c>
      <c r="G55" s="193">
        <f>+'ตารางที่3 จาก ต.2-สูตร-ปี61ฐาน'!G57</f>
        <v>3</v>
      </c>
      <c r="H55" s="544" t="str">
        <f>+'ตารางที่3 จาก ต.2-สูตร-ปี61ฐาน'!H57</f>
        <v>เรื่อง</v>
      </c>
      <c r="I55" s="483">
        <f t="shared" si="7"/>
        <v>1557173.6290976808</v>
      </c>
      <c r="J55" s="517">
        <f>+'ตารางที่3 จาก ต.2-สูตร-ปี61ฐาน'!J57</f>
        <v>8.98</v>
      </c>
      <c r="K55" s="518">
        <f>+'ตารางที่3 จาก ต.2-สูตร-ปี61ฐาน'!K57</f>
        <v>8.98</v>
      </c>
      <c r="L55" s="102">
        <v>8.98</v>
      </c>
    </row>
    <row r="56" spans="1:12" ht="22.5" customHeight="1" x14ac:dyDescent="0.5">
      <c r="A56" s="264">
        <v>603</v>
      </c>
      <c r="B56" s="545" t="s">
        <v>209</v>
      </c>
      <c r="C56" s="481">
        <f>+'ตารางที่3 จาก ต.2-สูตร-ปี61ฐาน'!C58</f>
        <v>4294571.2561920015</v>
      </c>
      <c r="D56" s="481">
        <f>+'ตารางที่3 จาก ต.2-สูตร-ปี61ฐาน'!D58</f>
        <v>229829.88914762394</v>
      </c>
      <c r="E56" s="481">
        <f>+'ตารางที่3 จาก ต.2-สูตร-ปี61ฐาน'!E58</f>
        <v>136715.46380800006</v>
      </c>
      <c r="F56" s="160">
        <f t="shared" si="8"/>
        <v>4661116.609147626</v>
      </c>
      <c r="G56" s="193">
        <f>+'ตารางที่3 จาก ต.2-สูตร-ปี61ฐาน'!G58</f>
        <v>3</v>
      </c>
      <c r="H56" s="544" t="str">
        <f>+'ตารางที่3 จาก ต.2-สูตร-ปี61ฐาน'!H58</f>
        <v>เรื่อง</v>
      </c>
      <c r="I56" s="483">
        <f t="shared" si="7"/>
        <v>1553705.536382542</v>
      </c>
      <c r="J56" s="517">
        <f>+'ตารางที่3 จาก ต.2-สูตร-ปี61ฐาน'!J58</f>
        <v>8.9600000000000009</v>
      </c>
      <c r="K56" s="518">
        <f>+'ตารางที่3 จาก ต.2-สูตร-ปี61ฐาน'!K58</f>
        <v>8.9600000000000009</v>
      </c>
      <c r="L56" s="102">
        <v>8.9600000000000009</v>
      </c>
    </row>
    <row r="57" spans="1:12" ht="22.5" customHeight="1" x14ac:dyDescent="0.5">
      <c r="A57" s="248">
        <v>604</v>
      </c>
      <c r="B57" s="433" t="s">
        <v>532</v>
      </c>
      <c r="C57" s="481">
        <f>+'ตารางที่3 จาก ต.2-สูตร-ปี61ฐาน'!C59</f>
        <v>3844024.7181540006</v>
      </c>
      <c r="D57" s="481">
        <f>+'ตารางที่3 จาก ต.2-สูตร-ปี61ฐาน'!D59</f>
        <v>205718.27131294017</v>
      </c>
      <c r="E57" s="481">
        <f>+'ตารางที่3 จาก ต.2-สูตร-ปี61ฐาน'!E59</f>
        <v>122372.54684600003</v>
      </c>
      <c r="F57" s="160">
        <f t="shared" si="8"/>
        <v>4172115.536312941</v>
      </c>
      <c r="G57" s="193">
        <f>+'ตารางที่3 จาก ต.2-สูตร-ปี61ฐาน'!G59</f>
        <v>1</v>
      </c>
      <c r="H57" s="544" t="str">
        <f>+'ตารางที่3 จาก ต.2-สูตร-ปี61ฐาน'!H59</f>
        <v>เรื่อง</v>
      </c>
      <c r="I57" s="483">
        <f t="shared" si="7"/>
        <v>4172115.536312941</v>
      </c>
      <c r="J57" s="517">
        <f>+'ตารางที่3 จาก ต.2-สูตร-ปี61ฐาน'!J59</f>
        <v>8.02</v>
      </c>
      <c r="K57" s="518">
        <f>+'ตารางที่3 จาก ต.2-สูตร-ปี61ฐาน'!K59</f>
        <v>8.02</v>
      </c>
      <c r="L57" s="102">
        <v>3.17</v>
      </c>
    </row>
    <row r="58" spans="1:12" ht="22.5" customHeight="1" x14ac:dyDescent="0.5">
      <c r="A58" s="264">
        <v>605</v>
      </c>
      <c r="B58" s="433" t="s">
        <v>533</v>
      </c>
      <c r="C58" s="481">
        <f>+'ตารางที่3 จาก ต.2-สูตร-ปี61ฐาน'!C60</f>
        <v>972988.80023100018</v>
      </c>
      <c r="D58" s="481">
        <f>+'ตารางที่3 จาก ต.2-สูตร-ปี61ฐาน'!D60</f>
        <v>52070.834260008538</v>
      </c>
      <c r="E58" s="481">
        <f>+'ตารางที่3 จาก ต.2-สูตร-ปี61ฐาน'!E60</f>
        <v>30974.597269000005</v>
      </c>
      <c r="F58" s="160">
        <f t="shared" si="8"/>
        <v>1056034.2317600087</v>
      </c>
      <c r="G58" s="193">
        <f>+'ตารางที่3 จาก ต.2-สูตร-ปี61ฐาน'!G60</f>
        <v>1</v>
      </c>
      <c r="H58" s="544" t="str">
        <f>+'ตารางที่3 จาก ต.2-สูตร-ปี61ฐาน'!H60</f>
        <v>เรื่อง</v>
      </c>
      <c r="I58" s="483">
        <f t="shared" si="7"/>
        <v>1056034.2317600087</v>
      </c>
      <c r="J58" s="517">
        <f>+'ตารางที่3 จาก ต.2-สูตร-ปี61ฐาน'!J60</f>
        <v>2.0299999999999998</v>
      </c>
      <c r="K58" s="518">
        <f>+'ตารางที่3 จาก ต.2-สูตร-ปี61ฐาน'!K60</f>
        <v>2.0299999999999998</v>
      </c>
      <c r="L58" s="102">
        <v>6.36</v>
      </c>
    </row>
    <row r="59" spans="1:12" ht="22.5" customHeight="1" thickBot="1" x14ac:dyDescent="0.55000000000000004">
      <c r="A59" s="1021">
        <v>606</v>
      </c>
      <c r="B59" s="520" t="s">
        <v>489</v>
      </c>
      <c r="C59" s="481">
        <f>+'ตารางที่3 จาก ต.2-สูตร-ปี61ฐาน'!C61</f>
        <v>972988.80023100018</v>
      </c>
      <c r="D59" s="481">
        <f>+'ตารางที่3 จาก ต.2-สูตร-ปี61ฐาน'!D61</f>
        <v>52070.834260008538</v>
      </c>
      <c r="E59" s="481">
        <f>+'ตารางที่3 จาก ต.2-สูตร-ปี61ฐาน'!E61</f>
        <v>30974.597269000005</v>
      </c>
      <c r="F59" s="168">
        <f t="shared" si="8"/>
        <v>1056034.2317600087</v>
      </c>
      <c r="G59" s="193">
        <f>+'ตารางที่3 จาก ต.2-สูตร-ปี61ฐาน'!G61</f>
        <v>1</v>
      </c>
      <c r="H59" s="544" t="str">
        <f>+'ตารางที่3 จาก ต.2-สูตร-ปี61ฐาน'!H61</f>
        <v>เรื่อง</v>
      </c>
      <c r="I59" s="521">
        <f t="shared" si="7"/>
        <v>1056034.2317600087</v>
      </c>
      <c r="J59" s="517">
        <f>+'ตารางที่3 จาก ต.2-สูตร-ปี61ฐาน'!J61</f>
        <v>2.0299999999999998</v>
      </c>
      <c r="K59" s="518">
        <f>+'ตารางที่3 จาก ต.2-สูตร-ปี61ฐาน'!K61</f>
        <v>2.0299999999999998</v>
      </c>
      <c r="L59" s="102">
        <v>2.5499999999999998</v>
      </c>
    </row>
    <row r="60" spans="1:12" ht="22.5" customHeight="1" x14ac:dyDescent="0.2">
      <c r="A60" s="533" t="s">
        <v>253</v>
      </c>
      <c r="B60" s="523"/>
      <c r="C60" s="508">
        <f>SUM(C61:C64)</f>
        <v>226602965.49999997</v>
      </c>
      <c r="D60" s="508">
        <f>SUM(D61:D64)</f>
        <v>12257740.130299143</v>
      </c>
      <c r="E60" s="508">
        <f>SUM(E61:E64)</f>
        <v>11206166.890000001</v>
      </c>
      <c r="F60" s="508">
        <f t="shared" ref="F60:F74" si="9">SUM(C60:E60)</f>
        <v>250066872.52029914</v>
      </c>
      <c r="G60" s="509"/>
      <c r="H60" s="546"/>
      <c r="I60" s="511"/>
      <c r="J60" s="547">
        <f>SUM(J61:J64)</f>
        <v>100</v>
      </c>
      <c r="K60" s="526">
        <f>SUM(K61:K64)</f>
        <v>100</v>
      </c>
      <c r="L60" s="102">
        <f>+'[3]ตารางที่3 จาก ต.2-สูตร-ปี61ไม่'!F63</f>
        <v>250066872.52029914</v>
      </c>
    </row>
    <row r="61" spans="1:12" ht="22.5" customHeight="1" x14ac:dyDescent="0.2">
      <c r="A61" s="514">
        <v>400</v>
      </c>
      <c r="B61" s="515" t="s">
        <v>2</v>
      </c>
      <c r="C61" s="193">
        <f>+'ตารางที่3 จาก ต.2-สูตร-ปี61ฐาน'!C63</f>
        <v>33990444.824999996</v>
      </c>
      <c r="D61" s="193">
        <f>+'ตารางที่3 จาก ต.2-สูตร-ปี61ฐาน'!D63</f>
        <v>1838661.0195448715</v>
      </c>
      <c r="E61" s="193">
        <f>+'ตารางที่3 จาก ต.2-สูตร-ปี61ฐาน'!E63</f>
        <v>1680925.0335000001</v>
      </c>
      <c r="F61" s="103">
        <f t="shared" si="9"/>
        <v>37510030.878044866</v>
      </c>
      <c r="G61" s="193">
        <f>+'ตารางที่3 จาก ต.2-สูตร-ปี61ฐาน'!G63</f>
        <v>18</v>
      </c>
      <c r="H61" s="482" t="str">
        <f>+'ตารางที่3 จาก ต.2-สูตร-ปี61ฐาน'!H63</f>
        <v>เรื่อง</v>
      </c>
      <c r="I61" s="516">
        <f>+F61/G61</f>
        <v>2083890.6043358259</v>
      </c>
      <c r="J61" s="517">
        <f>+'ตารางที่3 จาก ต.2-สูตร-ปี61ฐาน'!J63</f>
        <v>15</v>
      </c>
      <c r="K61" s="518">
        <f>+'ตารางที่3 จาก ต.2-สูตร-ปี61ฐาน'!K63</f>
        <v>15</v>
      </c>
    </row>
    <row r="62" spans="1:12" ht="22.5" customHeight="1" x14ac:dyDescent="0.2">
      <c r="A62" s="256">
        <v>401</v>
      </c>
      <c r="B62" s="519" t="s">
        <v>3</v>
      </c>
      <c r="C62" s="193">
        <f>+'ตารางที่3 จาก ต.2-สูตร-ปี61ฐาน'!C64</f>
        <v>22660296.549999997</v>
      </c>
      <c r="D62" s="193">
        <f>+'ตารางที่3 จาก ต.2-สูตร-ปี61ฐาน'!D64</f>
        <v>1225774.0130299143</v>
      </c>
      <c r="E62" s="193">
        <f>+'ตารางที่3 จาก ต.2-สูตร-ปี61ฐาน'!E64</f>
        <v>1120616.689</v>
      </c>
      <c r="F62" s="106">
        <f t="shared" si="9"/>
        <v>25006687.252029911</v>
      </c>
      <c r="G62" s="193">
        <f>+'ตารางที่3 จาก ต.2-สูตร-ปี61ฐาน'!G64</f>
        <v>12</v>
      </c>
      <c r="H62" s="482" t="str">
        <f>+'ตารางที่3 จาก ต.2-สูตร-ปี61ฐาน'!H64</f>
        <v>เรื่อง</v>
      </c>
      <c r="I62" s="483">
        <f>+F62/G62</f>
        <v>2083890.6043358259</v>
      </c>
      <c r="J62" s="517">
        <f>+'ตารางที่3 จาก ต.2-สูตร-ปี61ฐาน'!J64</f>
        <v>10</v>
      </c>
      <c r="K62" s="518">
        <f>+'ตารางที่3 จาก ต.2-สูตร-ปี61ฐาน'!K64</f>
        <v>10</v>
      </c>
    </row>
    <row r="63" spans="1:12" ht="22.5" customHeight="1" x14ac:dyDescent="0.2">
      <c r="A63" s="256">
        <v>402</v>
      </c>
      <c r="B63" s="519" t="s">
        <v>4</v>
      </c>
      <c r="C63" s="193">
        <f>+'ตารางที่3 จาก ต.2-สูตร-ปี61ฐาน'!C65</f>
        <v>135961779.29999998</v>
      </c>
      <c r="D63" s="193">
        <f>+'ตารางที่3 จาก ต.2-สูตร-ปี61ฐาน'!D65</f>
        <v>7354644.0781794861</v>
      </c>
      <c r="E63" s="193">
        <f>+'ตารางที่3 จาก ต.2-สูตร-ปี61ฐาน'!E65</f>
        <v>6723700.1340000005</v>
      </c>
      <c r="F63" s="106">
        <f t="shared" si="9"/>
        <v>150040123.51217946</v>
      </c>
      <c r="G63" s="193">
        <f>+'ตารางที่3 จาก ต.2-สูตร-ปี61ฐาน'!G65</f>
        <v>5</v>
      </c>
      <c r="H63" s="482" t="str">
        <f>+'ตารางที่3 จาก ต.2-สูตร-ปี61ฐาน'!H65</f>
        <v>ระบบ</v>
      </c>
      <c r="I63" s="483">
        <f>+F63/G63</f>
        <v>30008024.702435892</v>
      </c>
      <c r="J63" s="517">
        <f>+'ตารางที่3 จาก ต.2-สูตร-ปี61ฐาน'!J65</f>
        <v>60</v>
      </c>
      <c r="K63" s="518">
        <f>+'ตารางที่3 จาก ต.2-สูตร-ปี61ฐาน'!K65</f>
        <v>60</v>
      </c>
    </row>
    <row r="64" spans="1:12" ht="22.5" thickBot="1" x14ac:dyDescent="0.25">
      <c r="A64" s="535">
        <v>403</v>
      </c>
      <c r="B64" s="536" t="s">
        <v>5</v>
      </c>
      <c r="C64" s="188">
        <f>+'ตารางที่3 จาก ต.2-สูตร-ปี61ฐาน'!C66</f>
        <v>33990444.824999996</v>
      </c>
      <c r="D64" s="188">
        <f>+'ตารางที่3 จาก ต.2-สูตร-ปี61ฐาน'!D66</f>
        <v>1838661.0195448715</v>
      </c>
      <c r="E64" s="188">
        <f>+'ตารางที่3 จาก ต.2-สูตร-ปี61ฐาน'!E66</f>
        <v>1680925.0335000001</v>
      </c>
      <c r="F64" s="167">
        <f t="shared" si="9"/>
        <v>37510030.878044866</v>
      </c>
      <c r="G64" s="188">
        <f>+'ตารางที่3 จาก ต.2-สูตร-ปี61ฐาน'!G66</f>
        <v>36</v>
      </c>
      <c r="H64" s="253" t="str">
        <f>+'ตารางที่3 จาก ต.2-สูตร-ปี61ฐาน'!H66</f>
        <v>เรื่อง</v>
      </c>
      <c r="I64" s="521">
        <f>+F64/G64</f>
        <v>1041945.3021679129</v>
      </c>
      <c r="J64" s="699">
        <f>+'ตารางที่3 จาก ต.2-สูตร-ปี61ฐาน'!J66</f>
        <v>15</v>
      </c>
      <c r="K64" s="700">
        <f>+'ตารางที่3 จาก ต.2-สูตร-ปี61ฐาน'!K66</f>
        <v>15</v>
      </c>
    </row>
    <row r="65" spans="1:14" s="126" customFormat="1" ht="22.5" customHeight="1" x14ac:dyDescent="0.2">
      <c r="A65" s="548" t="s">
        <v>82</v>
      </c>
      <c r="B65" s="549"/>
      <c r="C65" s="550">
        <f>SUM(C66:C82)</f>
        <v>91147719.529915303</v>
      </c>
      <c r="D65" s="550">
        <f>SUM(D66:D82)</f>
        <v>15054994.995294072</v>
      </c>
      <c r="E65" s="550">
        <f>SUM(E66:E82)</f>
        <v>9988838.4577565566</v>
      </c>
      <c r="F65" s="550">
        <f>SUM(C65:E65)</f>
        <v>116191552.98296592</v>
      </c>
      <c r="G65" s="551"/>
      <c r="H65" s="552"/>
      <c r="I65" s="553"/>
      <c r="J65" s="553">
        <f>SUM(J66:J82)</f>
        <v>120.01029585798815</v>
      </c>
      <c r="K65" s="693">
        <f>SUM(K66:K82)</f>
        <v>122.61029585798816</v>
      </c>
      <c r="L65" s="259">
        <f>+'[3]ตารางที่3 จาก ต.2-สูตร-ปี61ไม่'!F68</f>
        <v>97954807.663096219</v>
      </c>
      <c r="M65" s="126">
        <f>+'[3]ตารางที่3 จาก ต.2-สูตร-ปี61ไม่'!F52+'[3]ตารางที่3 จาก ต.2-สูตร-ปี61ไม่'!F50+'[3]ตารางที่3 จาก ต.2-สูตร-ปี61ไม่'!F51</f>
        <v>18497714.590349711</v>
      </c>
      <c r="N65" s="554">
        <f>+L65+M65</f>
        <v>116452522.25344592</v>
      </c>
    </row>
    <row r="66" spans="1:14" ht="22.5" customHeight="1" x14ac:dyDescent="0.2">
      <c r="A66" s="256">
        <v>300</v>
      </c>
      <c r="B66" s="484" t="s">
        <v>459</v>
      </c>
      <c r="C66" s="250">
        <f>+'ตารางที่3 จาก ต.2-สูตร-ปี61ฐาน'!C68</f>
        <v>11305754.932439342</v>
      </c>
      <c r="D66" s="250">
        <f>+'ตารางที่3 จาก ต.2-สูตร-ปี61ฐาน'!D68</f>
        <v>2129687.8061549701</v>
      </c>
      <c r="E66" s="250">
        <f>+'ตารางที่3 จาก ต.2-สูตร-ปี61ฐาน'!E68</f>
        <v>1032482.3532450001</v>
      </c>
      <c r="F66" s="160">
        <f t="shared" si="9"/>
        <v>14467925.091839312</v>
      </c>
      <c r="G66" s="250">
        <f>+'ตารางที่3 จาก ต.2-สูตร-ปี61ฐาน'!G68</f>
        <v>24282</v>
      </c>
      <c r="H66" s="250" t="str">
        <f>+'ตารางที่3 จาก ต.2-สูตร-ปี61ฐาน'!H68</f>
        <v>จำนวนรายการเอกสาร</v>
      </c>
      <c r="I66" s="483">
        <f t="shared" ref="I66:I82" si="10">+F66/G66</f>
        <v>595.82921883861752</v>
      </c>
      <c r="J66" s="250">
        <f>+'ตารางที่3 จาก ต.2-สูตร-ปี61ฐาน'!J68</f>
        <v>15.568862275449101</v>
      </c>
      <c r="K66" s="1025">
        <f>+'ตารางที่3 จาก ต.2-สูตร-ปี61ฐาน'!K68</f>
        <v>14.77</v>
      </c>
      <c r="L66" s="102" t="s">
        <v>232</v>
      </c>
    </row>
    <row r="67" spans="1:14" ht="22.5" customHeight="1" x14ac:dyDescent="0.2">
      <c r="A67" s="256">
        <v>301</v>
      </c>
      <c r="B67" s="484" t="s">
        <v>460</v>
      </c>
      <c r="C67" s="250">
        <f>+'ตารางที่3 จาก ต.2-สูตร-ปี61ฐาน'!C69</f>
        <v>6085358.951448394</v>
      </c>
      <c r="D67" s="250">
        <f>+'ตารางที่3 จาก ต.2-สูตร-ปี61ฐาน'!D69</f>
        <v>1146311.3106927567</v>
      </c>
      <c r="E67" s="250">
        <f>+'ตารางที่3 จาก ต.2-สูตร-ปี61ฐาน'!E69</f>
        <v>555736.94707500003</v>
      </c>
      <c r="F67" s="160">
        <f t="shared" si="9"/>
        <v>7787407.2092161505</v>
      </c>
      <c r="G67" s="250">
        <f>+'ตารางที่3 จาก ต.2-สูตร-ปี61ฐาน'!G69</f>
        <v>1114</v>
      </c>
      <c r="H67" s="250" t="str">
        <f>+'ตารางที่3 จาก ต.2-สูตร-ปี61ฐาน'!H69</f>
        <v>จำนวนครั้งของการจัดซื้อจัดจ้าง</v>
      </c>
      <c r="I67" s="483">
        <f t="shared" si="10"/>
        <v>6990.4912111455569</v>
      </c>
      <c r="J67" s="250">
        <f>+'ตารางที่3 จาก ต.2-สูตร-ปี61ฐาน'!J69</f>
        <v>7.7844311377245505</v>
      </c>
      <c r="K67" s="1025">
        <f>+'ตารางที่3 จาก ต.2-สูตร-ปี61ฐาน'!K69</f>
        <v>7.95</v>
      </c>
      <c r="L67" s="102" t="s">
        <v>232</v>
      </c>
    </row>
    <row r="68" spans="1:14" ht="22.5" customHeight="1" x14ac:dyDescent="0.2">
      <c r="A68" s="256">
        <v>302</v>
      </c>
      <c r="B68" s="484" t="s">
        <v>461</v>
      </c>
      <c r="C68" s="250">
        <f>+'ตารางที่3 จาก ต.2-สูตร-ปี61ฐาน'!C70</f>
        <v>3046506.7455049818</v>
      </c>
      <c r="D68" s="250">
        <f>+'ตารางที่3 จาก ต.2-สูตร-ปี61ฐาน'!D70</f>
        <v>573876.60585624794</v>
      </c>
      <c r="E68" s="250">
        <f>+'ตารางที่3 จาก ต.2-สูตร-ปี61ฐาน'!E70</f>
        <v>278217.99363000004</v>
      </c>
      <c r="F68" s="160">
        <f t="shared" si="9"/>
        <v>3898601.3449912299</v>
      </c>
      <c r="G68" s="250">
        <f>+'ตารางที่3 จาก ต.2-สูตร-ปี61ฐาน'!G70</f>
        <v>1585</v>
      </c>
      <c r="H68" s="250" t="str">
        <f>+'ตารางที่3 จาก ต.2-สูตร-ปี61ฐาน'!H70</f>
        <v>จำนวนงานตรวจสอบ/คนวัน</v>
      </c>
      <c r="I68" s="483">
        <f t="shared" si="10"/>
        <v>2459.6853911616595</v>
      </c>
      <c r="J68" s="250">
        <f>+'ตารางที่3 จาก ต.2-สูตร-ปี61ฐาน'!J70</f>
        <v>4.1916167664670656</v>
      </c>
      <c r="K68" s="1025">
        <f>+'ตารางที่3 จาก ต.2-สูตร-ปี61ฐาน'!K70</f>
        <v>3.98</v>
      </c>
      <c r="L68" s="102" t="s">
        <v>232</v>
      </c>
    </row>
    <row r="69" spans="1:14" ht="22.5" customHeight="1" x14ac:dyDescent="0.2">
      <c r="A69" s="256">
        <v>303</v>
      </c>
      <c r="B69" s="484" t="s">
        <v>462</v>
      </c>
      <c r="C69" s="250">
        <f>+'ตารางที่3 จาก ต.2-สูตร-ปี61ฐาน'!C71</f>
        <v>4784087.2259814413</v>
      </c>
      <c r="D69" s="250">
        <f>+'ตารางที่3 จาก ต.2-สูตร-ปี61ฐาน'!D71</f>
        <v>901188.13733707275</v>
      </c>
      <c r="E69" s="250">
        <f>+'ตารางที่3 จาก ต.2-สูตร-ปี61ฐาน'!E71</f>
        <v>436900.11562499998</v>
      </c>
      <c r="F69" s="160">
        <f t="shared" si="9"/>
        <v>6122175.4789435137</v>
      </c>
      <c r="G69" s="250">
        <f>+'ตารางที่3 จาก ต.2-สูตร-ปี61ฐาน'!G71</f>
        <v>965</v>
      </c>
      <c r="H69" s="250" t="str">
        <f>+'ตารางที่3 จาก ต.2-สูตร-ปี61ฐาน'!H71</f>
        <v>จำนวนบุคลากร</v>
      </c>
      <c r="I69" s="483">
        <f t="shared" si="10"/>
        <v>6344.2232942419832</v>
      </c>
      <c r="J69" s="250">
        <f>+'ตารางที่3 จาก ต.2-สูตร-ปี61ฐาน'!J71</f>
        <v>7.1856287425149699</v>
      </c>
      <c r="K69" s="1025">
        <f>+'ตารางที่3 จาก ต.2-สูตร-ปี61ฐาน'!K71</f>
        <v>6.25</v>
      </c>
      <c r="L69" s="102" t="s">
        <v>232</v>
      </c>
    </row>
    <row r="70" spans="1:14" ht="22.5" customHeight="1" x14ac:dyDescent="0.2">
      <c r="A70" s="256">
        <v>304</v>
      </c>
      <c r="B70" s="484" t="s">
        <v>463</v>
      </c>
      <c r="C70" s="250">
        <f>+'ตารางที่3 จาก ต.2-สูตร-ปี61ฐาน'!C72</f>
        <v>3482815.5005144896</v>
      </c>
      <c r="D70" s="250">
        <f>+'ตารางที่3 จาก ต.2-สูตร-ปี61ฐาน'!D72</f>
        <v>656064.96398138895</v>
      </c>
      <c r="E70" s="250">
        <f>+'ตารางที่3 จาก ต.2-สูตร-ปี61ฐาน'!E72</f>
        <v>318063.28417499998</v>
      </c>
      <c r="F70" s="160">
        <f t="shared" si="9"/>
        <v>4456943.7486708788</v>
      </c>
      <c r="G70" s="250">
        <f>+'ตารางที่3 จาก ต.2-สูตร-ปี61ฐาน'!G72</f>
        <v>23631</v>
      </c>
      <c r="H70" s="250" t="str">
        <f>+'ตารางที่3 จาก ต.2-สูตร-ปี61ฐาน'!H72</f>
        <v>จำนวนชั่วโมง/คนการฝึกอบรม</v>
      </c>
      <c r="I70" s="483">
        <f t="shared" si="10"/>
        <v>188.60580376077522</v>
      </c>
      <c r="J70" s="250">
        <f>+'ตารางที่3 จาก ต.2-สูตร-ปี61ฐาน'!J72</f>
        <v>4.1916167664670656</v>
      </c>
      <c r="K70" s="1025">
        <f>+'ตารางที่3 จาก ต.2-สูตร-ปี61ฐาน'!K72</f>
        <v>4.55</v>
      </c>
      <c r="L70" s="102" t="s">
        <v>232</v>
      </c>
    </row>
    <row r="71" spans="1:14" ht="22.5" customHeight="1" x14ac:dyDescent="0.2">
      <c r="A71" s="256">
        <v>305</v>
      </c>
      <c r="B71" s="484" t="s">
        <v>464</v>
      </c>
      <c r="C71" s="250">
        <f>+'ตารางที่3 จาก ต.2-สูตร-ปี61ฐาน'!C73</f>
        <v>11305754.932439342</v>
      </c>
      <c r="D71" s="250">
        <f>+'ตารางที่3 จาก ต.2-สูตร-ปี61ฐาน'!D73</f>
        <v>2129687.8061549701</v>
      </c>
      <c r="E71" s="250">
        <f>+'ตารางที่3 จาก ต.2-สูตร-ปี61ฐาน'!E73</f>
        <v>1032482.3532450001</v>
      </c>
      <c r="F71" s="160">
        <f t="shared" si="9"/>
        <v>14467925.091839312</v>
      </c>
      <c r="G71" s="250">
        <f>+'ตารางที่3 จาก ต.2-สูตร-ปี61ฐาน'!G73</f>
        <v>10883</v>
      </c>
      <c r="H71" s="250" t="str">
        <f>+'ตารางที่3 จาก ต.2-สูตร-ปี61ฐาน'!H73</f>
        <v>เรื่อง</v>
      </c>
      <c r="I71" s="483">
        <f t="shared" si="10"/>
        <v>1329.4059626793451</v>
      </c>
      <c r="J71" s="250">
        <f>+'ตารางที่3 จาก ต.2-สูตร-ปี61ฐาน'!J73</f>
        <v>9.5808383233532926</v>
      </c>
      <c r="K71" s="1025">
        <f>+'ตารางที่3 จาก ต.2-สูตร-ปี61ฐาน'!K73</f>
        <v>14.77</v>
      </c>
      <c r="L71" s="102" t="s">
        <v>232</v>
      </c>
    </row>
    <row r="72" spans="1:14" ht="22.5" customHeight="1" x14ac:dyDescent="0.2">
      <c r="A72" s="256">
        <v>306</v>
      </c>
      <c r="B72" s="484" t="s">
        <v>465</v>
      </c>
      <c r="C72" s="250">
        <f>+'ตารางที่3 จาก ต.2-สูตร-ปี61ฐาน'!C74</f>
        <v>2173889.2354859668</v>
      </c>
      <c r="D72" s="250">
        <f>+'ตารางที่3 จาก ต.2-สูตร-ปี61ฐาน'!D74</f>
        <v>409499.88960596581</v>
      </c>
      <c r="E72" s="250">
        <f>+'ตารางที่3 จาก ต.2-สูตร-ปี61ฐาน'!E74</f>
        <v>198527.41254000002</v>
      </c>
      <c r="F72" s="160">
        <f t="shared" si="9"/>
        <v>2781916.5376319326</v>
      </c>
      <c r="G72" s="250">
        <f>+'ตารางที่3 จาก ต.2-สูตร-ปี61ฐาน'!G74</f>
        <v>1</v>
      </c>
      <c r="H72" s="250" t="str">
        <f>+'ตารางที่3 จาก ต.2-สูตร-ปี61ฐาน'!H74</f>
        <v>ด้าน</v>
      </c>
      <c r="I72" s="483">
        <f t="shared" si="10"/>
        <v>2781916.5376319326</v>
      </c>
      <c r="J72" s="250">
        <f>+'ตารางที่3 จาก ต.2-สูตร-ปี61ฐาน'!J74</f>
        <v>2.9940119760479043</v>
      </c>
      <c r="K72" s="1025">
        <f>+'ตารางที่3 จาก ต.2-สูตร-ปี61ฐาน'!K74</f>
        <v>2.84</v>
      </c>
      <c r="L72" s="102" t="s">
        <v>232</v>
      </c>
    </row>
    <row r="73" spans="1:14" ht="22.5" customHeight="1" x14ac:dyDescent="0.2">
      <c r="A73" s="256">
        <v>307</v>
      </c>
      <c r="B73" s="484" t="s">
        <v>466</v>
      </c>
      <c r="C73" s="250">
        <f>+'ตารางที่3 จาก ต.2-สูตร-ปี61ฐาน'!C75</f>
        <v>4347778.4709719336</v>
      </c>
      <c r="D73" s="250">
        <f>+'ตารางที่3 จาก ต.2-สูตร-ปี61ฐาน'!D75</f>
        <v>818999.77921193163</v>
      </c>
      <c r="E73" s="250">
        <f>+'ตารางที่3 จาก ต.2-สูตร-ปี61ฐาน'!E75</f>
        <v>397054.82508000004</v>
      </c>
      <c r="F73" s="160">
        <f t="shared" si="9"/>
        <v>5563833.0752638653</v>
      </c>
      <c r="G73" s="250">
        <f>+'ตารางที่3 จาก ต.2-สูตร-ปี61ฐาน'!G75</f>
        <v>62062</v>
      </c>
      <c r="H73" s="250" t="str">
        <f>+'ตารางที่3 จาก ต.2-สูตร-ปี61ฐาน'!H75</f>
        <v>จำนวนหนังสือเข้า-ออก</v>
      </c>
      <c r="I73" s="483">
        <f t="shared" si="10"/>
        <v>89.649593555861316</v>
      </c>
      <c r="J73" s="250">
        <f>+'ตารางที่3 จาก ต.2-สูตร-ปี61ฐาน'!J75</f>
        <v>7.1856287425149699</v>
      </c>
      <c r="K73" s="1025">
        <f>+'ตารางที่3 จาก ต.2-สูตร-ปี61ฐาน'!K75</f>
        <v>5.68</v>
      </c>
      <c r="L73" s="102" t="s">
        <v>232</v>
      </c>
    </row>
    <row r="74" spans="1:14" ht="22.5" customHeight="1" x14ac:dyDescent="0.2">
      <c r="A74" s="256">
        <v>308</v>
      </c>
      <c r="B74" s="484" t="s">
        <v>467</v>
      </c>
      <c r="C74" s="250">
        <f>+'ตารางที่3 จาก ต.2-สูตร-ปี61ฐาน'!C76</f>
        <v>5656704.7360004559</v>
      </c>
      <c r="D74" s="250">
        <f>+'ตารางที่3 จาก ต.2-สูตร-ปี61ฐาน'!D76</f>
        <v>1065564.8535873548</v>
      </c>
      <c r="E74" s="250">
        <f>+'ตารางที่3 จาก ต.2-สูตร-ปี61ฐาน'!E76</f>
        <v>516590.69671500003</v>
      </c>
      <c r="F74" s="160">
        <f t="shared" si="9"/>
        <v>7238860.2863028105</v>
      </c>
      <c r="G74" s="250">
        <f>+'ตารางที่3 จาก ต.2-สูตร-ปี61ฐาน'!G76</f>
        <v>151201</v>
      </c>
      <c r="H74" s="250" t="str">
        <f>+'ตารางที่3 จาก ต.2-สูตร-ปี61ฐาน'!H76</f>
        <v>กิโลเมตร</v>
      </c>
      <c r="I74" s="483">
        <f t="shared" si="10"/>
        <v>47.875743456080386</v>
      </c>
      <c r="J74" s="250">
        <f>+'ตารางที่3 จาก ต.2-สูตร-ปี61ฐาน'!J76</f>
        <v>8.3832335329341312</v>
      </c>
      <c r="K74" s="1025">
        <f>+'ตารางที่3 จาก ต.2-สูตร-ปี61ฐาน'!K76</f>
        <v>7.39</v>
      </c>
      <c r="L74" s="102" t="s">
        <v>232</v>
      </c>
    </row>
    <row r="75" spans="1:14" ht="22.5" customHeight="1" x14ac:dyDescent="0.2">
      <c r="A75" s="256">
        <v>309</v>
      </c>
      <c r="B75" s="484" t="s">
        <v>468</v>
      </c>
      <c r="C75" s="250">
        <f>+'ตารางที่3 จาก ต.2-สูตร-ปี61ฐาน'!C77</f>
        <v>1301271.725466952</v>
      </c>
      <c r="D75" s="250">
        <f>+'ตารางที่3 จาก ต.2-สูตร-ปี61ฐาน'!D77</f>
        <v>245123.1733556838</v>
      </c>
      <c r="E75" s="250">
        <f>+'ตารางที่3 จาก ต.2-สูตร-ปี61ฐาน'!E77</f>
        <v>118836.83145000001</v>
      </c>
      <c r="F75" s="160">
        <f t="shared" ref="F75:F81" si="11">SUM(C75:E75)</f>
        <v>1665231.7302726358</v>
      </c>
      <c r="G75" s="250">
        <f>+'ตารางที่3 จาก ต.2-สูตร-ปี61ฐาน'!G77</f>
        <v>1</v>
      </c>
      <c r="H75" s="250" t="str">
        <f>+'ตารางที่3 จาก ต.2-สูตร-ปี61ฐาน'!H77</f>
        <v>ด้าน</v>
      </c>
      <c r="I75" s="483">
        <f t="shared" si="10"/>
        <v>1665231.7302726358</v>
      </c>
      <c r="J75" s="250">
        <f>+'ตารางที่3 จาก ต.2-สูตร-ปี61ฐาน'!J77</f>
        <v>2.0958083832335328</v>
      </c>
      <c r="K75" s="1025">
        <f>+'ตารางที่3 จาก ต.2-สูตร-ปี61ฐาน'!K77</f>
        <v>1.7</v>
      </c>
      <c r="L75" s="102" t="s">
        <v>232</v>
      </c>
    </row>
    <row r="76" spans="1:14" ht="22.5" customHeight="1" x14ac:dyDescent="0.2">
      <c r="A76" s="256">
        <v>310</v>
      </c>
      <c r="B76" s="484" t="s">
        <v>469</v>
      </c>
      <c r="C76" s="250">
        <f>+'ตารางที่3 จาก ต.2-สูตร-ปี61ฐาน'!C78</f>
        <v>10440791.961981898</v>
      </c>
      <c r="D76" s="250">
        <f>+'ตารางที่3 จาก ต.2-สูตร-ปี61ฐาน'!D78</f>
        <v>1966752.9909244275</v>
      </c>
      <c r="E76" s="250">
        <f>+'ตารางที่3 จาก ต.2-สูตร-ปี61ฐาน'!E78</f>
        <v>953490.81234000018</v>
      </c>
      <c r="F76" s="160">
        <f t="shared" si="11"/>
        <v>13361035.765246326</v>
      </c>
      <c r="G76" s="250">
        <f>+'ตารางที่3 จาก ต.2-สูตร-ปี61ฐาน'!G78</f>
        <v>66443</v>
      </c>
      <c r="H76" s="250" t="str">
        <f>+'ตารางที่3 จาก ต.2-สูตร-ปี61ฐาน'!H78</f>
        <v>เรื่อง</v>
      </c>
      <c r="I76" s="483">
        <f t="shared" si="10"/>
        <v>201.09019407983274</v>
      </c>
      <c r="J76" s="250">
        <f>+'ตารางที่3 จาก ต.2-สูตร-ปี61ฐาน'!J78</f>
        <v>13.173652694610778</v>
      </c>
      <c r="K76" s="1025">
        <f>+'ตารางที่3 จาก ต.2-สูตร-ปี61ฐาน'!K78</f>
        <v>13.64</v>
      </c>
      <c r="L76" s="102" t="s">
        <v>232</v>
      </c>
    </row>
    <row r="77" spans="1:14" ht="22.5" customHeight="1" x14ac:dyDescent="0.2">
      <c r="A77" s="256">
        <v>311</v>
      </c>
      <c r="B77" s="484" t="s">
        <v>470</v>
      </c>
      <c r="C77" s="250">
        <f>+'ตารางที่3 จาก ต.2-สูตร-ปี61ฐาน'!C79</f>
        <v>872617.51001901482</v>
      </c>
      <c r="D77" s="250">
        <f>+'ตารางที่3 จาก ต.2-สูตร-ปี61ฐาน'!D79</f>
        <v>164376.71625028207</v>
      </c>
      <c r="E77" s="250">
        <f>+'ตารางที่3 จาก ต.2-สูตร-ปี61ฐาน'!E79</f>
        <v>79690.581090000007</v>
      </c>
      <c r="F77" s="160">
        <f t="shared" si="11"/>
        <v>1116684.8073592968</v>
      </c>
      <c r="G77" s="250">
        <f>+'ตารางที่3 จาก ต.2-สูตร-ปี61ฐาน'!G79</f>
        <v>762956200</v>
      </c>
      <c r="H77" s="250" t="str">
        <f>+'ตารางที่3 จาก ต.2-สูตร-ปี61ฐาน'!H79</f>
        <v>จำนวนเงินงบประมาณที่ได้รับจัดสรร</v>
      </c>
      <c r="I77" s="483">
        <f t="shared" si="10"/>
        <v>1.4636289833666687E-3</v>
      </c>
      <c r="J77" s="250">
        <f>+'ตารางที่3 จาก ต.2-สูตร-ปี61ฐาน'!J79</f>
        <v>1.4970059880239521</v>
      </c>
      <c r="K77" s="1025">
        <f>+'ตารางที่3 จาก ต.2-สูตร-ปี61ฐาน'!K79</f>
        <v>1.1399999999999999</v>
      </c>
      <c r="L77" s="102" t="s">
        <v>232</v>
      </c>
    </row>
    <row r="78" spans="1:14" ht="22.5" customHeight="1" x14ac:dyDescent="0.2">
      <c r="A78" s="256">
        <v>312</v>
      </c>
      <c r="B78" s="484" t="s">
        <v>471</v>
      </c>
      <c r="C78" s="250">
        <f>+'ตารางที่3 จาก ต.2-สูตร-ปี61ฐาน'!C80</f>
        <v>8695556.9419438671</v>
      </c>
      <c r="D78" s="250">
        <f>+'ตารางที่3 จาก ต.2-สูตร-ปี61ฐาน'!D80</f>
        <v>1637999.5584238633</v>
      </c>
      <c r="E78" s="250">
        <f>+'ตารางที่3 จาก ต.2-สูตร-ปี61ฐาน'!E80</f>
        <v>794109.65016000008</v>
      </c>
      <c r="F78" s="160">
        <f t="shared" si="11"/>
        <v>11127666.150527731</v>
      </c>
      <c r="G78" s="250">
        <f>+'ตารางที่3 จาก ต.2-สูตร-ปี61ฐาน'!G80</f>
        <v>13</v>
      </c>
      <c r="H78" s="250" t="str">
        <f>+'ตารางที่3 จาก ต.2-สูตร-ปี61ฐาน'!H80</f>
        <v>ครั้ง</v>
      </c>
      <c r="I78" s="483">
        <f t="shared" si="10"/>
        <v>855974.3192713639</v>
      </c>
      <c r="J78" s="250">
        <f>+'ตารางที่3 จาก ต.2-สูตร-ปี61ฐาน'!J80</f>
        <v>11.976047904191617</v>
      </c>
      <c r="K78" s="1025">
        <f>+'ตารางที่3 จาก ต.2-สูตร-ปี61ฐาน'!K80</f>
        <v>11.36</v>
      </c>
      <c r="L78" s="102" t="s">
        <v>232</v>
      </c>
    </row>
    <row r="79" spans="1:14" ht="22.5" customHeight="1" x14ac:dyDescent="0.2">
      <c r="A79" s="256">
        <v>313</v>
      </c>
      <c r="B79" s="484" t="s">
        <v>472</v>
      </c>
      <c r="C79" s="250">
        <f>+'ตารางที่3 จาก ต.2-สูตร-ปี61ฐาน'!C81</f>
        <v>3046506.7455049818</v>
      </c>
      <c r="D79" s="250">
        <f>+'ตารางที่3 จาก ต.2-สูตร-ปี61ฐาน'!D81</f>
        <v>573876.60585624794</v>
      </c>
      <c r="E79" s="250">
        <f>+'ตารางที่3 จาก ต.2-สูตร-ปี61ฐาน'!E81</f>
        <v>278217.99363000004</v>
      </c>
      <c r="F79" s="160">
        <f t="shared" si="11"/>
        <v>3898601.3449912299</v>
      </c>
      <c r="G79" s="250">
        <f>+'ตารางที่3 จาก ต.2-สูตร-ปี61ฐาน'!G81</f>
        <v>12</v>
      </c>
      <c r="H79" s="250" t="str">
        <f>+'ตารางที่3 จาก ต.2-สูตร-ปี61ฐาน'!H81</f>
        <v>เรื่อง</v>
      </c>
      <c r="I79" s="483">
        <f t="shared" si="10"/>
        <v>324883.44541593583</v>
      </c>
      <c r="J79" s="250">
        <f>+'ตารางที่3 จาก ต.2-สูตร-ปี61ฐาน'!J81</f>
        <v>4.1916167664670656</v>
      </c>
      <c r="K79" s="1025">
        <f>+'ตารางที่3 จาก ต.2-สูตร-ปี61ฐาน'!K81</f>
        <v>3.98</v>
      </c>
      <c r="L79" s="102" t="s">
        <v>232</v>
      </c>
    </row>
    <row r="80" spans="1:14" ht="22.5" customHeight="1" x14ac:dyDescent="0.5">
      <c r="A80" s="248">
        <v>505</v>
      </c>
      <c r="B80" s="545" t="s">
        <v>448</v>
      </c>
      <c r="C80" s="250">
        <f>+'ตารางที่3 จาก ต.2-สูตร-ปี61ฐาน'!C25</f>
        <v>1137260.802884127</v>
      </c>
      <c r="D80" s="250">
        <f>+'ตารางที่3 จาก ต.2-สูตร-ปี61ฐาน'!D25</f>
        <v>84545.022768999988</v>
      </c>
      <c r="E80" s="250">
        <f>+'ตารางที่3 จาก ต.2-สูตร-ปี61ฐาน'!E25</f>
        <v>29920.757222571428</v>
      </c>
      <c r="F80" s="160">
        <f t="shared" si="11"/>
        <v>1251726.5828756983</v>
      </c>
      <c r="G80" s="161">
        <f>+'ตารางที่3 จาก ต.2-สูตร-ปี61ฐาน'!G25</f>
        <v>12</v>
      </c>
      <c r="H80" s="1026" t="str">
        <f>+'ตารางที่3 จาก ต.2-สูตร-ปี61ฐาน'!H25</f>
        <v>เรื่อง</v>
      </c>
      <c r="I80" s="483">
        <f t="shared" si="10"/>
        <v>104310.54857297486</v>
      </c>
      <c r="J80" s="1027">
        <f>+'ตารางที่3 จาก ต.2-สูตร-ปี61ฐาน'!J25</f>
        <v>5.46</v>
      </c>
      <c r="K80" s="1028">
        <f>+'ตารางที่3 จาก ต.2-สูตร-ปี61ฐาน'!K25</f>
        <v>8.06</v>
      </c>
      <c r="L80" s="102" t="s">
        <v>435</v>
      </c>
    </row>
    <row r="81" spans="1:14" ht="22.5" customHeight="1" x14ac:dyDescent="0.2">
      <c r="A81" s="256">
        <v>708</v>
      </c>
      <c r="B81" s="519" t="s">
        <v>496</v>
      </c>
      <c r="C81" s="250">
        <f>+'ตารางที่3 จาก ต.2-สูตร-ปี61ฐาน'!C50</f>
        <v>6351961.451460191</v>
      </c>
      <c r="D81" s="250">
        <f>+'ตารางที่3 จาก ต.2-สูตร-ปี61ฐาน'!D50</f>
        <v>260134.25748394273</v>
      </c>
      <c r="E81" s="250">
        <f>+'ตารางที่3 จาก ต.2-สูตร-ปี61ฐาน'!E50</f>
        <v>1400357.2129399837</v>
      </c>
      <c r="F81" s="160">
        <f t="shared" si="11"/>
        <v>8012452.9218841176</v>
      </c>
      <c r="G81" s="161">
        <f>+'ตารางที่3 จาก ต.2-สูตร-ปี61ฐาน'!G50</f>
        <v>657</v>
      </c>
      <c r="H81" s="1026" t="str">
        <f>+'ตารางที่3 จาก ต.2-สูตร-ปี61ฐาน'!H50</f>
        <v>เครื่อง</v>
      </c>
      <c r="I81" s="483">
        <f t="shared" si="10"/>
        <v>12195.514340767302</v>
      </c>
      <c r="J81" s="1026">
        <f>+'ตารางที่3 จาก ต.2-สูตร-ปี61ฐาน'!J50</f>
        <v>6.8639053254437865</v>
      </c>
      <c r="K81" s="1029">
        <f>+'ตารางที่3 จาก ต.2-สูตร-ปี61ฐาน'!K50</f>
        <v>6.8639053254437865</v>
      </c>
      <c r="L81" s="102" t="s">
        <v>231</v>
      </c>
    </row>
    <row r="82" spans="1:14" ht="22.5" customHeight="1" thickBot="1" x14ac:dyDescent="0.25">
      <c r="A82" s="535">
        <v>709</v>
      </c>
      <c r="B82" s="536" t="s">
        <v>495</v>
      </c>
      <c r="C82" s="252">
        <f>+'ตารางที่3 จาก ต.2-สูตร-ปี61ฐาน'!C51</f>
        <v>7113101.6598679209</v>
      </c>
      <c r="D82" s="252">
        <f>+'ตารางที่3 จาก ต.2-สูตร-ปี61ฐาน'!D51</f>
        <v>291305.51764796692</v>
      </c>
      <c r="E82" s="252">
        <f>+'ตารางที่3 จาก ต.2-สูตร-ปี61ฐาน'!E51</f>
        <v>1568158.6375939993</v>
      </c>
      <c r="F82" s="252">
        <f>+'ตารางที่3 จาก ต.2-สูตร-ปี61ฐาน'!F51</f>
        <v>8972565.8151098862</v>
      </c>
      <c r="G82" s="188">
        <f>+'ตารางที่3 จาก ต.2-สูตร-ปี61ฐาน'!G51</f>
        <v>1</v>
      </c>
      <c r="H82" s="1030" t="str">
        <f>+'ตารางที่3 จาก ต.2-สูตร-ปี61ฐาน'!H51</f>
        <v>ระบบ</v>
      </c>
      <c r="I82" s="521">
        <f t="shared" si="10"/>
        <v>8972565.8151098862</v>
      </c>
      <c r="J82" s="1030">
        <f>+'ตารางที่3 จาก ต.2-สูตร-ปี61ฐาน'!J51</f>
        <v>7.6863905325443795</v>
      </c>
      <c r="K82" s="1031">
        <f>+'ตารางที่3 จาก ต.2-สูตร-ปี61ฐาน'!K51</f>
        <v>7.6863905325443795</v>
      </c>
      <c r="L82" s="102" t="s">
        <v>231</v>
      </c>
    </row>
    <row r="83" spans="1:14" s="126" customFormat="1" ht="22.5" customHeight="1" thickBot="1" x14ac:dyDescent="0.25">
      <c r="A83" s="1504" t="s">
        <v>71</v>
      </c>
      <c r="B83" s="1505"/>
      <c r="C83" s="694">
        <f>+C5+C17+C19+C26+C41+C52+C60+C65</f>
        <v>577020617.50999999</v>
      </c>
      <c r="D83" s="694">
        <f>+D5+D17+D19+D26+D41+D52+D60+D65</f>
        <v>41360637.719999999</v>
      </c>
      <c r="E83" s="694">
        <f>+E5+E17+E19+E26+E41+E52+E60+E65</f>
        <v>43873491.260000013</v>
      </c>
      <c r="F83" s="694">
        <f>SUM(C83:E83)</f>
        <v>662254746.49000001</v>
      </c>
      <c r="G83" s="695"/>
      <c r="H83" s="696"/>
      <c r="I83" s="697"/>
      <c r="J83" s="697"/>
      <c r="K83" s="698"/>
      <c r="L83" s="259"/>
    </row>
    <row r="84" spans="1:14" x14ac:dyDescent="0.2">
      <c r="B84" s="555">
        <f>+'ต.2=กระจาย ต.1สู่ ต.2-ปี61'!B31</f>
        <v>0</v>
      </c>
      <c r="C84" s="102">
        <f>+'ต.2=กระจาย ต.1สู่ ต.2-ปี61'!B28+'ต.2=กระจาย ต.1สู่ ต.2-ปี61'!C28+'ต.2=กระจาย ต.1สู่ ต.2-ปี61'!D28+'ต.2=กระจาย ต.1สู่ ต.2-ปี61'!F28+'ต.2=กระจาย ต.1สู่ ต.2-ปี61'!G28+'ต.2=กระจาย ต.1สู่ ต.2-ปี61'!H28+'ต.2=กระจาย ต.1สู่ ต.2-ปี61'!K28+'ต.2=กระจาย ต.1สู่ ต.2-ปี61'!O28</f>
        <v>580729769.7299999</v>
      </c>
      <c r="D84" s="102">
        <f>+'ต.2=กระจาย ต.1สู่ ต.2-ปี61'!E28+'ต.2=กระจาย ต.1สู่ ต.2-ปี61'!P28</f>
        <v>27396878.939999994</v>
      </c>
      <c r="E84" s="102">
        <f>+'ต.2=กระจาย ต.1สู่ ต.2-ปี61'!N28</f>
        <v>2472250</v>
      </c>
      <c r="F84" s="102">
        <f>+'ต.2=กระจาย ต.1สู่ ต.2-ปี61'!R28</f>
        <v>662254746.48999989</v>
      </c>
      <c r="H84" s="557"/>
      <c r="M84" s="558">
        <f>SUM(E66:E82)</f>
        <v>9988838.4577565566</v>
      </c>
      <c r="N84" s="559">
        <f>+E83-M84</f>
        <v>33884652.802243456</v>
      </c>
    </row>
    <row r="85" spans="1:14" x14ac:dyDescent="0.2">
      <c r="A85" s="505"/>
      <c r="B85" s="134"/>
      <c r="F85" s="102">
        <f>+F83-F84</f>
        <v>0</v>
      </c>
    </row>
    <row r="86" spans="1:14" x14ac:dyDescent="0.2">
      <c r="A86" s="505"/>
      <c r="B86" s="134"/>
      <c r="C86" s="558"/>
    </row>
    <row r="87" spans="1:14" x14ac:dyDescent="0.2">
      <c r="A87" s="505"/>
      <c r="B87" s="484" t="s">
        <v>94</v>
      </c>
      <c r="C87" s="558">
        <f>+'[3]ตารางที่3 จาก ต.2-สูตร-ปี61ไม่'!C69-'ข้อมูล ต.3-505,708,709ไป สนน.'!C66</f>
        <v>1290322.827106731</v>
      </c>
      <c r="D87" s="558">
        <f>+'[3]ตารางที่3 จาก ต.2-สูตร-ปี61ไม่'!D69-'ข้อมูล ต.3-505,708,709ไป สนน.'!D66</f>
        <v>243060.7073401073</v>
      </c>
      <c r="E87" s="558">
        <f>+'[3]ตารางที่3 จาก ต.2-สูตร-ปี61ไม่'!E69-'ข้อมูล ต.3-505,708,709ไป สนน.'!E66</f>
        <v>117836.93852715171</v>
      </c>
      <c r="F87" s="558">
        <f>+'[3]ตารางที่3 จาก ต.2-สูตร-ปี61ไม่'!F69-'ข้อมูล ต.3-505,708,709ไป สนน.'!F66</f>
        <v>1651220.4729739912</v>
      </c>
    </row>
    <row r="88" spans="1:14" x14ac:dyDescent="0.2">
      <c r="A88" s="505"/>
      <c r="B88" s="484" t="s">
        <v>95</v>
      </c>
      <c r="C88" s="558">
        <f>+'[3]ตารางที่3 จาก ต.2-สูตร-ปี61ไม่'!C70-'ข้อมูล ต.3-505,708,709ไป สนน.'!C67</f>
        <v>212679.92832464259</v>
      </c>
      <c r="D88" s="558">
        <f>+'[3]ตารางที่3 จาก ต.2-สูตร-ปี61ไม่'!D70-'ข้อมูล ต.3-505,708,709ไป สนน.'!D67</f>
        <v>40062.94605478202</v>
      </c>
      <c r="E88" s="558">
        <f>+'[3]ตารางที่3 จาก ต.2-สูตร-ปี61ไม่'!E70-'ข้อมูล ต.3-505,708,709ไป สนน.'!E67</f>
        <v>19422.698811075883</v>
      </c>
      <c r="F88" s="558">
        <f>+'[3]ตารางที่3 จาก ต.2-สูตร-ปี61ไม่'!F70-'ข้อมูล ต.3-505,708,709ไป สนน.'!F67</f>
        <v>272165.57319050096</v>
      </c>
    </row>
    <row r="89" spans="1:14" x14ac:dyDescent="0.2">
      <c r="B89" s="484" t="s">
        <v>96</v>
      </c>
      <c r="C89" s="558">
        <f>+'[3]ตารางที่3 จาก ต.2-สูตร-ปี61ไม่'!C71-'ข้อมูล ต.3-505,708,709ไป สนน.'!C68</f>
        <v>344744.95898819156</v>
      </c>
      <c r="D89" s="558">
        <f>+'[3]ตารางที่3 จาก ต.2-สูตร-ปี61ไม่'!D71-'ข้อมูล ต.3-505,708,709ไป สนน.'!D68</f>
        <v>64940.301623195992</v>
      </c>
      <c r="E89" s="558">
        <f>+'[3]ตารางที่3 จาก ต.2-สูตร-ปี61ไม่'!E71-'ข้อมูล ต.3-505,708,709ไป สนน.'!E68</f>
        <v>31483.354154810077</v>
      </c>
      <c r="F89" s="558">
        <f>+'[3]ตารางที่3 จาก ต.2-สูตร-ปี61ไม่'!F71-'ข้อมูล ต.3-505,708,709ไป สนน.'!F68</f>
        <v>441168.61476619774</v>
      </c>
      <c r="G89" s="127"/>
      <c r="H89" s="556"/>
    </row>
    <row r="90" spans="1:14" x14ac:dyDescent="0.2">
      <c r="B90" s="484" t="s">
        <v>97</v>
      </c>
      <c r="C90" s="558">
        <f>+'[3]ตารางที่3 จาก ต.2-สูตร-ปี61ไม่'!C72-'ข้อมูล ต.3-505,708,709ไป สนน.'!C69</f>
        <v>545022.59536497388</v>
      </c>
      <c r="D90" s="558">
        <f>+'[3]ตารางที่3 จาก ต.2-สูตร-ปี61ไม่'!D72-'ข้อมูล ต.3-505,708,709ไป สนน.'!D69</f>
        <v>102667.0029877678</v>
      </c>
      <c r="E90" s="558">
        <f>+'[3]ตารางที่3 จาก ต.2-สูตร-ปี61ไม่'!E72-'ข้อมูล ต.3-505,708,709ไป สนน.'!E69</f>
        <v>49773.430893987359</v>
      </c>
      <c r="F90" s="558">
        <f>+'[3]ตารางที่3 จาก ต.2-สูตร-ปี61ไม่'!F72-'ข้อมูล ต.3-505,708,709ไป สนน.'!F69</f>
        <v>697463.02924672887</v>
      </c>
      <c r="G90" s="127"/>
      <c r="H90" s="556"/>
    </row>
    <row r="91" spans="1:14" x14ac:dyDescent="0.2">
      <c r="B91" s="484" t="s">
        <v>98</v>
      </c>
      <c r="C91" s="558">
        <f>+'[3]ตารางที่3 จาก ต.2-สูตร-ปี61ไม่'!C73-'ข้อมูล ต.3-505,708,709ไป สนน.'!C70</f>
        <v>392900.73319199495</v>
      </c>
      <c r="D91" s="558">
        <f>+'[3]ตารางที่3 จาก ต.2-สูตร-ปี61ไม่'!D73-'ข้อมูล ต.3-505,708,709ไป สนน.'!D70</f>
        <v>74011.501709404169</v>
      </c>
      <c r="E91" s="558">
        <f>+'[3]ตารางที่3 จาก ต.2-สูตร-ปี61ไม่'!E73-'ข้อมูล ต.3-505,708,709ไป สนน.'!E70</f>
        <v>35881.113293354516</v>
      </c>
      <c r="F91" s="558">
        <f>+'[3]ตารางที่3 จาก ต.2-สูตร-ปี61ไม่'!F73-'ข้อมูล ต.3-505,708,709ไป สนน.'!F70</f>
        <v>502793.34819475375</v>
      </c>
      <c r="G91" s="127"/>
      <c r="H91" s="556"/>
    </row>
    <row r="92" spans="1:14" x14ac:dyDescent="0.2">
      <c r="B92" s="484" t="s">
        <v>130</v>
      </c>
      <c r="C92" s="558">
        <f>+'[3]ตารางที่3 จาก ต.2-สูตร-ปี61ไม่'!C74-'ข้อมูล ต.3-505,708,709ไป สนน.'!C71</f>
        <v>-5492180.5818796167</v>
      </c>
      <c r="D92" s="558">
        <f>+'[3]ตารางที่3 จาก ต.2-สูตร-ปี61ไม่'!D74-'ข้อมูล ต.3-505,708,709ไป สนน.'!D71</f>
        <v>-1034573.1076187803</v>
      </c>
      <c r="E92" s="558">
        <f>+'[3]ตารางที่3 จาก ต.2-สูตร-ปี61ไม่'!E74-'ข้อมูล ต.3-505,708,709ไป สนน.'!E71</f>
        <v>-501565.75704246841</v>
      </c>
      <c r="F92" s="558">
        <f>+'[3]ตารางที่3 จาก ต.2-สูตร-ปี61ไม่'!F74-'ข้อมูล ต.3-505,708,709ไป สนน.'!F71</f>
        <v>-7028319.4465408642</v>
      </c>
      <c r="G92" s="127"/>
      <c r="H92" s="556"/>
    </row>
    <row r="93" spans="1:14" x14ac:dyDescent="0.2">
      <c r="B93" s="484" t="s">
        <v>161</v>
      </c>
      <c r="C93" s="558">
        <f>+'[3]ตารางที่3 จาก ต.2-สูตร-ปี61ไม่'!C75-'ข้อมูล ต.3-505,708,709ไป สนน.'!C72</f>
        <v>248433.41058058571</v>
      </c>
      <c r="D93" s="558">
        <f>+'[3]ตารางที่3 จาก ต.2-สูตร-ปี61ไม่'!D75-'ข้อมูล ต.3-505,708,709ไป สนน.'!D72</f>
        <v>46797.901450779929</v>
      </c>
      <c r="E93" s="558">
        <f>+'[3]ตารางที่3 จาก ต.2-สูตร-ปี61ไม่'!E75-'ข้อมูล ต.3-505,708,709ไป สนน.'!E72</f>
        <v>22687.835877721518</v>
      </c>
      <c r="F93" s="558">
        <f>+'[3]ตารางที่3 จาก ต.2-สูตร-ปี61ไม่'!F75-'ข้อมูล ต.3-505,708,709ไป สนน.'!F72</f>
        <v>317919.14790908713</v>
      </c>
    </row>
    <row r="94" spans="1:14" x14ac:dyDescent="0.2">
      <c r="B94" s="484" t="s">
        <v>162</v>
      </c>
      <c r="C94" s="558">
        <f>+'[3]ตารางที่3 จาก ต.2-สูตร-ปี61ไม่'!C76-'ข้อมูล ต.3-505,708,709ไป สนน.'!C73</f>
        <v>12402.291947861202</v>
      </c>
      <c r="D94" s="558">
        <f>+'[3]ตารางที่3 จาก ต.2-สูตร-ปี61ไม่'!D76-'ข้อมูล ต.3-505,708,709ไป สนน.'!D73</f>
        <v>2336.2446902106749</v>
      </c>
      <c r="E94" s="558">
        <f>+'[3]ตารางที่3 จาก ต.2-สูตร-ปี61ไม่'!E76-'ข้อมูล ต.3-505,708,709ไป สนน.'!E73</f>
        <v>1132.622071898717</v>
      </c>
      <c r="F94" s="558">
        <f>+'[3]ตารางที่3 จาก ต.2-สูตร-ปี61ไม่'!F76-'ข้อมูล ต.3-505,708,709ไป สนน.'!F73</f>
        <v>15871.158709970303</v>
      </c>
    </row>
    <row r="95" spans="1:14" x14ac:dyDescent="0.2">
      <c r="B95" s="484" t="s">
        <v>136</v>
      </c>
      <c r="C95" s="558">
        <f>+'[3]ตารางที่3 จาก ต.2-สูตร-ปี61ไม่'!C77-'ข้อมูล ต.3-505,708,709ไป สนน.'!C74</f>
        <v>1125798.6729858909</v>
      </c>
      <c r="D95" s="558">
        <f>+'[3]ตารางที่3 จาก ต.2-สูตร-ปี61ไม่'!D77-'ข้อมูล ต.3-505,708,709ไป สนน.'!D74</f>
        <v>212068.96137153311</v>
      </c>
      <c r="E95" s="558">
        <f>+'[3]ตารางที่3 จาก ต.2-สูตร-ปี61ไม่'!E77-'ข้อมูล ต.3-505,708,709ไป สนน.'!E74</f>
        <v>102811.99885462021</v>
      </c>
      <c r="F95" s="558">
        <f>+'[3]ตารางที่3 จาก ต.2-สูตร-ปี61ไม่'!F77-'ข้อมูล ต.3-505,708,709ไป สนน.'!F74</f>
        <v>1440679.6332120448</v>
      </c>
    </row>
    <row r="96" spans="1:14" x14ac:dyDescent="0.2">
      <c r="B96" s="484" t="s">
        <v>163</v>
      </c>
      <c r="C96" s="558">
        <f>+'[3]ตารางที่3 จาก ต.2-สูตร-ปี61ไม่'!C78-'ข้อมูล ต.3-505,708,709ไป สนน.'!C75</f>
        <v>394354.12677963474</v>
      </c>
      <c r="D96" s="558">
        <f>+'[3]ตารางที่3 จาก ต.2-สูตร-ปี61ไม่'!D78-'ข้อมูล ต.3-505,708,709ไป สนน.'!D75</f>
        <v>74285.280384038168</v>
      </c>
      <c r="E96" s="558">
        <f>+'[3]ตารางที่3 จาก ต.2-สูตร-ปี61ไม่'!E78-'ข้อมูล ต.3-505,708,709ไป สนน.'!E75</f>
        <v>36013.842442405046</v>
      </c>
      <c r="F96" s="558">
        <f>+'[3]ตารางที่3 จาก ต.2-สูตร-ปี61ไม่'!F78-'ข้อมูล ต.3-505,708,709ไป สนน.'!F75</f>
        <v>504653.24960607802</v>
      </c>
    </row>
    <row r="97" spans="2:6" x14ac:dyDescent="0.2">
      <c r="B97" s="484" t="s">
        <v>304</v>
      </c>
      <c r="C97" s="558">
        <f>+'[3]ตารางที่3 จาก ต.2-สูตร-ปี61ไม่'!C79-'ข้อมูล ต.3-505,708,709ไป สนน.'!C76</f>
        <v>-751501.3777156882</v>
      </c>
      <c r="D97" s="558">
        <f>+'[3]ตารางที่3 จาก ต.2-สูตร-ปี61ไม่'!D79-'ข้อมูล ต.3-505,708,709ไป สนน.'!D76</f>
        <v>-141561.82669744454</v>
      </c>
      <c r="E97" s="558">
        <f>+'[3]ตารางที่3 จาก ต.2-สูตร-ปี61ไม่'!E79-'ข้อมูล ต.3-505,708,709ไป สนน.'!E76</f>
        <v>-68629.818669114029</v>
      </c>
      <c r="F97" s="558">
        <f>+'[3]ตารางที่3 จาก ต.2-สูตร-ปี61ไม่'!F79-'ข้อมูล ต.3-505,708,709ไป สนน.'!F76</f>
        <v>-961693.023082247</v>
      </c>
    </row>
    <row r="98" spans="2:6" x14ac:dyDescent="0.2">
      <c r="B98" s="484" t="s">
        <v>305</v>
      </c>
      <c r="C98" s="558">
        <f>+'[3]ตารางที่3 จาก ต.2-สูตร-ปี61ไม่'!C80-'ข้อมูล ต.3-505,708,709ไป สนน.'!C77</f>
        <v>338543.81301426142</v>
      </c>
      <c r="D98" s="558">
        <f>+'[3]ตารางที่3 จาก ต.2-สูตร-ปี61ไม่'!D80-'ข้อมูล ต.3-505,708,709ไป สนน.'!D77</f>
        <v>63772.1792780908</v>
      </c>
      <c r="E98" s="558">
        <f>+'[3]ตารางที่3 จาก ต.2-สูตร-ปี61ไม่'!E80-'ข้อมูล ต.3-505,708,709ไป สนน.'!E77</f>
        <v>30917.043118860762</v>
      </c>
      <c r="F98" s="558">
        <f>+'[3]ตารางที่3 จาก ต.2-สูตร-ปี61ไม่'!F80-'ข้อมูล ต.3-505,708,709ไป สนน.'!F77</f>
        <v>433233.03541121306</v>
      </c>
    </row>
    <row r="99" spans="2:6" x14ac:dyDescent="0.2">
      <c r="B99" s="484" t="s">
        <v>306</v>
      </c>
      <c r="C99" s="558">
        <f>+'[3]ตารางที่3 จาก ต.2-สูตร-ปี61ไม่'!C81-'ข้อมูล ต.3-505,708,709ไป สนน.'!C78</f>
        <v>993733.64232234284</v>
      </c>
      <c r="D99" s="558">
        <f>+'[3]ตารางที่3 จาก ต.2-สูตร-ปี61ไม่'!D81-'ข้อมูล ต.3-505,708,709ไป สนน.'!D78</f>
        <v>187191.60580311972</v>
      </c>
      <c r="E99" s="558">
        <f>+'[3]ตารางที่3 จาก ต.2-สูตร-ปี61ไม่'!E81-'ข้อมูล ต.3-505,708,709ไป สนน.'!E78</f>
        <v>90751.343510886072</v>
      </c>
      <c r="F99" s="558">
        <f>+'[3]ตารางที่3 จาก ต.2-สูตร-ปี61ไม่'!F81-'ข้อมูล ต.3-505,708,709ไป สนน.'!F78</f>
        <v>1271676.5916363485</v>
      </c>
    </row>
    <row r="100" spans="2:6" x14ac:dyDescent="0.2">
      <c r="B100" s="484" t="s">
        <v>307</v>
      </c>
      <c r="C100" s="558">
        <f>+'[3]ตารางที่3 จาก ต.2-สูตร-ปี61ไม่'!C82-'ข้อมูล ต.3-505,708,709ไป สนน.'!C79</f>
        <v>344744.95898819156</v>
      </c>
      <c r="D100" s="558">
        <f>+'[3]ตารางที่3 จาก ต.2-สูตร-ปี61ไม่'!D82-'ข้อมูล ต.3-505,708,709ไป สนน.'!D79</f>
        <v>64940.301623195992</v>
      </c>
      <c r="E100" s="558">
        <f>+'[3]ตารางที่3 จาก ต.2-สูตร-ปี61ไม่'!E82-'ข้อมูล ต.3-505,708,709ไป สนน.'!E79</f>
        <v>31483.354154810077</v>
      </c>
      <c r="F100" s="558">
        <f>+'[3]ตารางที่3 จาก ต.2-สูตร-ปี61ไม่'!F82-'ข้อมูล ต.3-505,708,709ไป สนน.'!F79</f>
        <v>441168.61476619774</v>
      </c>
    </row>
  </sheetData>
  <mergeCells count="2">
    <mergeCell ref="A3:B3"/>
    <mergeCell ref="A83:B83"/>
  </mergeCells>
  <phoneticPr fontId="4" type="noConversion"/>
  <pageMargins left="0.23622047244094491" right="0.19685039370078741" top="0.35433070866141736" bottom="0.15748031496062992" header="0" footer="0"/>
  <pageSetup scale="66" orientation="landscape" r:id="rId1"/>
  <headerFooter alignWithMargins="0"/>
  <rowBreaks count="2" manualBreakCount="2">
    <brk id="40" min="2" max="12" man="1"/>
    <brk id="64" min="2" max="12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V31"/>
  <sheetViews>
    <sheetView view="pageBreakPreview" zoomScaleNormal="100" zoomScaleSheetLayoutView="100" workbookViewId="0">
      <pane xSplit="1" ySplit="3" topLeftCell="B10" activePane="bottomRight" state="frozen"/>
      <selection activeCell="E30" sqref="E30"/>
      <selection pane="topRight" activeCell="E30" sqref="E30"/>
      <selection pane="bottomLeft" activeCell="E30" sqref="E30"/>
      <selection pane="bottomRight" activeCell="C6" sqref="C6"/>
    </sheetView>
  </sheetViews>
  <sheetFormatPr defaultColWidth="9" defaultRowHeight="21.75" x14ac:dyDescent="0.5"/>
  <cols>
    <col min="1" max="1" width="40" style="269" customWidth="1"/>
    <col min="2" max="8" width="16" style="269" customWidth="1"/>
    <col min="9" max="9" width="30.7109375" style="1032" customWidth="1"/>
    <col min="10" max="10" width="0" style="269" hidden="1" customWidth="1"/>
    <col min="11" max="11" width="8.5703125" style="269" hidden="1" customWidth="1"/>
    <col min="12" max="12" width="3.140625" style="269" customWidth="1"/>
    <col min="13" max="13" width="9" style="269"/>
    <col min="14" max="14" width="23.140625" style="269" customWidth="1"/>
    <col min="15" max="15" width="13" style="269" bestFit="1" customWidth="1"/>
    <col min="16" max="16" width="14.5703125" style="269" bestFit="1" customWidth="1"/>
    <col min="17" max="18" width="16" style="269" customWidth="1"/>
    <col min="19" max="16384" width="9" style="269"/>
  </cols>
  <sheetData>
    <row r="1" spans="1:22" x14ac:dyDescent="0.5">
      <c r="A1" s="267" t="s">
        <v>387</v>
      </c>
      <c r="E1" s="295"/>
    </row>
    <row r="2" spans="1:22" ht="22.5" thickBot="1" x14ac:dyDescent="0.55000000000000004">
      <c r="E2" s="295"/>
      <c r="H2" s="425" t="s">
        <v>117</v>
      </c>
      <c r="I2" s="649" t="s">
        <v>265</v>
      </c>
      <c r="K2" s="269" t="s">
        <v>186</v>
      </c>
      <c r="L2" s="269" t="s">
        <v>190</v>
      </c>
      <c r="Q2" s="269" t="s">
        <v>223</v>
      </c>
    </row>
    <row r="3" spans="1:22" x14ac:dyDescent="0.5">
      <c r="A3" s="1033" t="s">
        <v>405</v>
      </c>
      <c r="B3" s="1034" t="s">
        <v>67</v>
      </c>
      <c r="C3" s="1034" t="s">
        <v>69</v>
      </c>
      <c r="D3" s="1034" t="s">
        <v>77</v>
      </c>
      <c r="E3" s="1034" t="s">
        <v>78</v>
      </c>
      <c r="F3" s="1035" t="s">
        <v>83</v>
      </c>
      <c r="G3" s="1034" t="s">
        <v>81</v>
      </c>
      <c r="H3" s="1036" t="s">
        <v>88</v>
      </c>
      <c r="Q3" s="1037" t="s">
        <v>83</v>
      </c>
      <c r="R3" s="1037" t="s">
        <v>81</v>
      </c>
    </row>
    <row r="4" spans="1:22" s="127" customFormat="1" ht="43.5" x14ac:dyDescent="0.2">
      <c r="A4" s="678" t="s">
        <v>321</v>
      </c>
      <c r="B4" s="317">
        <f>SUM('ต.5 ถั่ว-สนับสนุนให้ กก หลัก-61'!C5:C11)+'ต.5 ถั่ว-สนับสนุนให้ กก หลัก-61'!C13+'ต.5 ถั่ว-สนับสนุนให้ กก หลัก-61'!C16</f>
        <v>55187485.469265364</v>
      </c>
      <c r="C4" s="317">
        <f>SUM('ต.5 ถั่ว-สนับสนุนให้ กก หลัก-61'!D5:D11)+'ต.5 ถั่ว-สนับสนุนให้ กก หลัก-61'!D13+'ต.5 ถั่ว-สนับสนุนให้ กก หลัก-61'!D16</f>
        <v>5118723.4996910105</v>
      </c>
      <c r="D4" s="317">
        <f>SUM('ต.5 ถั่ว-สนับสนุนให้ กก หลัก-61'!E5:E11)+'ต.5 ถั่ว-สนับสนุนให้ กก หลัก-61'!E13+'ต.5 ถั่ว-สนับสนุนให้ กก หลัก-61'!E16</f>
        <v>2038306.7310038877</v>
      </c>
      <c r="E4" s="679">
        <f>SUM(B4:D4)</f>
        <v>62344515.699960262</v>
      </c>
      <c r="F4" s="1038">
        <v>20</v>
      </c>
      <c r="G4" s="1039" t="s">
        <v>1</v>
      </c>
      <c r="H4" s="576">
        <f>+E4/F4</f>
        <v>3117225.7849980132</v>
      </c>
      <c r="I4" s="1040" t="s">
        <v>546</v>
      </c>
      <c r="J4" s="127" t="s">
        <v>185</v>
      </c>
      <c r="K4" s="127">
        <v>1</v>
      </c>
      <c r="M4" s="127" t="s">
        <v>239</v>
      </c>
      <c r="O4" s="559" t="e">
        <f>+E4+E13+E14+#REF!</f>
        <v>#REF!</v>
      </c>
      <c r="Q4" s="1041">
        <v>20</v>
      </c>
      <c r="R4" s="1042" t="s">
        <v>1</v>
      </c>
      <c r="S4" s="559"/>
      <c r="T4" s="559"/>
      <c r="U4" s="559"/>
      <c r="V4" s="559"/>
    </row>
    <row r="5" spans="1:22" s="127" customFormat="1" ht="39" x14ac:dyDescent="0.2">
      <c r="A5" s="1043" t="s">
        <v>545</v>
      </c>
      <c r="B5" s="250">
        <f>+'ต.5 ถั่ว-สนับสนุนให้ กก หลัก-61'!C25</f>
        <v>27049758.93736165</v>
      </c>
      <c r="C5" s="250">
        <f>+'ต.5 ถั่ว-สนับสนุนให้ กก หลัก-61'!D25</f>
        <v>1961583.584698441</v>
      </c>
      <c r="D5" s="250">
        <f>+'ต.5 ถั่ว-สนับสนุนให้ กก หลัก-61'!E25</f>
        <v>718859.36181869521</v>
      </c>
      <c r="E5" s="251">
        <f t="shared" ref="E5:E18" si="0">SUM(B5:D5)</f>
        <v>29730201.883878786</v>
      </c>
      <c r="F5" s="709">
        <v>13</v>
      </c>
      <c r="G5" s="1044" t="s">
        <v>1</v>
      </c>
      <c r="H5" s="163">
        <f t="shared" ref="H5:H18" si="1">+E5/F5</f>
        <v>2286938.6064522145</v>
      </c>
      <c r="I5" s="1045" t="s">
        <v>550</v>
      </c>
      <c r="J5" s="127" t="s">
        <v>91</v>
      </c>
      <c r="K5" s="127">
        <v>2</v>
      </c>
      <c r="M5" s="127" t="s">
        <v>91</v>
      </c>
      <c r="N5" s="1046" t="s">
        <v>411</v>
      </c>
      <c r="O5" s="127">
        <f>+'ต.5 ถั่ว-สนับสนุนให้ กก หลัก-61'!F23</f>
        <v>87829252.241887122</v>
      </c>
      <c r="Q5" s="1041">
        <v>15</v>
      </c>
      <c r="R5" s="1042" t="s">
        <v>1</v>
      </c>
    </row>
    <row r="6" spans="1:22" s="127" customFormat="1" x14ac:dyDescent="0.2">
      <c r="A6" s="1043" t="s">
        <v>262</v>
      </c>
      <c r="B6" s="250">
        <f>+'ต.5 ถั่ว-สนับสนุนให้ กก หลัก-61'!C17</f>
        <v>15406294.129486185</v>
      </c>
      <c r="C6" s="250">
        <f>+'ต.5 ถั่ว-สนับสนุนให้ กก หลัก-61'!D17</f>
        <v>1516337.2783264038</v>
      </c>
      <c r="D6" s="250">
        <f>+'ต.5 ถั่ว-สนับสนุนให้ กก หลัก-61'!E17</f>
        <v>441917.49274920451</v>
      </c>
      <c r="E6" s="251">
        <f t="shared" si="0"/>
        <v>17364548.900561791</v>
      </c>
      <c r="F6" s="709">
        <v>2</v>
      </c>
      <c r="G6" s="1044" t="s">
        <v>1</v>
      </c>
      <c r="H6" s="163">
        <f t="shared" si="1"/>
        <v>8682274.4502808955</v>
      </c>
      <c r="I6" s="1040" t="s">
        <v>547</v>
      </c>
      <c r="J6" s="127" t="s">
        <v>90</v>
      </c>
      <c r="K6" s="127">
        <v>3</v>
      </c>
      <c r="M6" s="127" t="s">
        <v>240</v>
      </c>
      <c r="Q6" s="1041">
        <v>2</v>
      </c>
      <c r="R6" s="1042" t="s">
        <v>1</v>
      </c>
      <c r="S6" s="559"/>
      <c r="T6" s="559"/>
      <c r="U6" s="559"/>
      <c r="V6" s="559"/>
    </row>
    <row r="7" spans="1:22" s="127" customFormat="1" ht="27" customHeight="1" x14ac:dyDescent="0.2">
      <c r="A7" s="1043" t="s">
        <v>322</v>
      </c>
      <c r="B7" s="250">
        <f>+'ต.5 ถั่ว-สนับสนุนให้ กก หลัก-61'!C27+'ต.5 ถั่ว-สนับสนุนให้ กก หลัก-61'!C28+'ต.5 ถั่ว-สนับสนุนให้ กก หลัก-61'!C29+'ต.5 ถั่ว-สนับสนุนให้ กก หลัก-61'!C31+'ต.5 ถั่ว-สนับสนุนให้ กก หลัก-61'!C32+'ต.5 ถั่ว-สนับสนุนให้ กก หลัก-61'!C34+'ต.5 ถั่ว-สนับสนุนให้ กก หลัก-61'!C36</f>
        <v>71124091.683095217</v>
      </c>
      <c r="C7" s="250">
        <f>+'ต.5 ถั่ว-สนับสนุนให้ กก หลัก-61'!D27+'ต.5 ถั่ว-สนับสนุนให้ กก หลัก-61'!D28+'ต.5 ถั่ว-สนับสนุนให้ กก หลัก-61'!D29+'ต.5 ถั่ว-สนับสนุนให้ กก หลัก-61'!D31+'ต.5 ถั่ว-สนับสนุนให้ กก หลัก-61'!D32+'ต.5 ถั่ว-สนับสนุนให้ กก หลัก-61'!D34+'ต.5 ถั่ว-สนับสนุนให้ กก หลัก-61'!D36</f>
        <v>3856346.7802163437</v>
      </c>
      <c r="D7" s="250">
        <f>+'ต.5 ถั่ว-สนับสนุนให้ กก หลัก-61'!E27+'ต.5 ถั่ว-สนับสนุนให้ กก หลัก-61'!E28+'ต.5 ถั่ว-สนับสนุนให้ กก หลัก-61'!E29+'ต.5 ถั่ว-สนับสนุนให้ กก หลัก-61'!E31+'ต.5 ถั่ว-สนับสนุนให้ กก หลัก-61'!E32+'ต.5 ถั่ว-สนับสนุนให้ กก หลัก-61'!E34+'ต.5 ถั่ว-สนับสนุนให้ กก หลัก-61'!E36</f>
        <v>17095358.419189461</v>
      </c>
      <c r="E7" s="251">
        <f t="shared" si="0"/>
        <v>92075796.882501006</v>
      </c>
      <c r="F7" s="709">
        <v>5</v>
      </c>
      <c r="G7" s="1044" t="s">
        <v>6</v>
      </c>
      <c r="H7" s="163">
        <f t="shared" si="1"/>
        <v>18415159.3765002</v>
      </c>
      <c r="I7" s="1040" t="s">
        <v>548</v>
      </c>
      <c r="J7" s="127" t="s">
        <v>92</v>
      </c>
      <c r="K7" s="127">
        <v>4</v>
      </c>
      <c r="M7" s="127" t="s">
        <v>92</v>
      </c>
      <c r="N7" s="559" t="e">
        <f>+E7+E15+#REF!+E18</f>
        <v>#REF!</v>
      </c>
      <c r="O7" s="559" t="e">
        <f>+E7+E15+#REF!</f>
        <v>#REF!</v>
      </c>
      <c r="P7" s="102">
        <f>+'ต.5 ถั่ว-สนับสนุนให้ กก หลัก-61'!F26</f>
        <v>121575073.85756579</v>
      </c>
      <c r="Q7" s="1041">
        <v>5</v>
      </c>
      <c r="R7" s="1042" t="s">
        <v>6</v>
      </c>
    </row>
    <row r="8" spans="1:22" s="127" customFormat="1" ht="43.5" x14ac:dyDescent="0.2">
      <c r="A8" s="1043" t="s">
        <v>323</v>
      </c>
      <c r="B8" s="250">
        <f>+'ต.5 ถั่ว-สนับสนุนให้ กก หลัก-61'!C45</f>
        <v>269112732.21040344</v>
      </c>
      <c r="C8" s="250">
        <f>+'ต.5 ถั่ว-สนับสนุนให้ กก หลัก-61'!D45</f>
        <v>19272973.259043463</v>
      </c>
      <c r="D8" s="250">
        <f>+'ต.5 ถั่ว-สนับสนุนให้ กก หลัก-61'!E45</f>
        <v>14509626.761587029</v>
      </c>
      <c r="E8" s="251">
        <f t="shared" si="0"/>
        <v>302895332.23103392</v>
      </c>
      <c r="F8" s="709">
        <v>5</v>
      </c>
      <c r="G8" s="1044" t="s">
        <v>6</v>
      </c>
      <c r="H8" s="163">
        <f t="shared" si="1"/>
        <v>60579066.446206786</v>
      </c>
      <c r="I8" s="1047" t="s">
        <v>552</v>
      </c>
      <c r="J8" s="127" t="s">
        <v>168</v>
      </c>
      <c r="K8" s="127">
        <v>6</v>
      </c>
      <c r="M8" s="127" t="s">
        <v>253</v>
      </c>
      <c r="Q8" s="1041">
        <v>5</v>
      </c>
      <c r="R8" s="1042" t="s">
        <v>6</v>
      </c>
    </row>
    <row r="9" spans="1:22" s="127" customFormat="1" ht="43.5" x14ac:dyDescent="0.2">
      <c r="A9" s="1043" t="s">
        <v>324</v>
      </c>
      <c r="B9" s="250">
        <f>SUM('ต.5 ถั่ว-สนับสนุนให้ กก หลัก-61'!C38:C41)</f>
        <v>50045857.987375043</v>
      </c>
      <c r="C9" s="250">
        <f>SUM('ต.5 ถั่ว-สนับสนุนให้ กก หลัก-61'!D38:D41)</f>
        <v>3545883.6922219633</v>
      </c>
      <c r="D9" s="250">
        <f>SUM('ต.5 ถั่ว-สนับสนุนให้ กก หลัก-61'!E38:E41)</f>
        <v>1736986.5872879236</v>
      </c>
      <c r="E9" s="251">
        <f t="shared" si="0"/>
        <v>55328728.26688493</v>
      </c>
      <c r="F9" s="709">
        <v>34</v>
      </c>
      <c r="G9" s="1044" t="s">
        <v>1</v>
      </c>
      <c r="H9" s="163">
        <f t="shared" si="1"/>
        <v>1627315.5372613214</v>
      </c>
      <c r="I9" s="1047" t="s">
        <v>549</v>
      </c>
      <c r="J9" s="127" t="s">
        <v>93</v>
      </c>
      <c r="K9" s="127">
        <v>7</v>
      </c>
      <c r="M9" s="127" t="s">
        <v>93</v>
      </c>
      <c r="Q9" s="1041">
        <v>40</v>
      </c>
      <c r="R9" s="1042" t="s">
        <v>1</v>
      </c>
      <c r="S9" s="559"/>
      <c r="T9" s="559"/>
      <c r="U9" s="559"/>
      <c r="V9" s="559"/>
    </row>
    <row r="10" spans="1:22" s="127" customFormat="1" ht="39" customHeight="1" x14ac:dyDescent="0.2">
      <c r="A10" s="1048" t="s">
        <v>498</v>
      </c>
      <c r="B10" s="250">
        <f>+'ต.5 ถั่ว-สนับสนุนให้ กก หลัก-61'!C12</f>
        <v>5366147.8044980057</v>
      </c>
      <c r="C10" s="250">
        <f>+'ต.5 ถั่ว-สนับสนุนให้ กก หลัก-61'!D12</f>
        <v>435095.33042029059</v>
      </c>
      <c r="D10" s="250">
        <f>+'ต.5 ถั่ว-สนับสนุนให้ กก หลัก-61'!E12</f>
        <v>173106.25873316487</v>
      </c>
      <c r="E10" s="251">
        <f t="shared" si="0"/>
        <v>5974349.3936514612</v>
      </c>
      <c r="F10" s="709">
        <v>3</v>
      </c>
      <c r="G10" s="1044" t="s">
        <v>28</v>
      </c>
      <c r="H10" s="163">
        <f t="shared" si="1"/>
        <v>1991449.7978838205</v>
      </c>
      <c r="I10" s="1040">
        <v>808</v>
      </c>
      <c r="K10" s="127">
        <f ca="1">SUM(K4:K10)</f>
        <v>36</v>
      </c>
      <c r="M10" s="127" t="s">
        <v>239</v>
      </c>
      <c r="Q10" s="1041">
        <v>12</v>
      </c>
      <c r="R10" s="1042" t="s">
        <v>1</v>
      </c>
    </row>
    <row r="11" spans="1:22" s="127" customFormat="1" x14ac:dyDescent="0.2">
      <c r="A11" s="1049" t="s">
        <v>499</v>
      </c>
      <c r="B11" s="250">
        <f>+'ต.5 ถั่ว-สนับสนุนให้ กก หลัก-61'!C33</f>
        <v>8323931.3664041217</v>
      </c>
      <c r="C11" s="250">
        <f>+'ต.5 ถั่ว-สนับสนุนให้ กก หลัก-61'!D33</f>
        <v>451323.386548132</v>
      </c>
      <c r="D11" s="250">
        <f>+'ต.5 ถั่ว-สนับสนุนให้ กก หลัก-61'!E33</f>
        <v>2000736.8361125086</v>
      </c>
      <c r="E11" s="251">
        <f t="shared" si="0"/>
        <v>10775991.589064762</v>
      </c>
      <c r="F11" s="1050">
        <v>1</v>
      </c>
      <c r="G11" s="484" t="s">
        <v>274</v>
      </c>
      <c r="H11" s="163">
        <f t="shared" si="1"/>
        <v>10775991.589064762</v>
      </c>
      <c r="I11" s="1040">
        <v>706</v>
      </c>
      <c r="M11" s="127" t="s">
        <v>92</v>
      </c>
      <c r="Q11" s="1041">
        <v>4</v>
      </c>
      <c r="R11" s="1042" t="s">
        <v>1</v>
      </c>
    </row>
    <row r="12" spans="1:22" s="127" customFormat="1" ht="43.5" x14ac:dyDescent="0.2">
      <c r="A12" s="1043" t="s">
        <v>500</v>
      </c>
      <c r="B12" s="250">
        <f>+'ต.5 ถั่ว-สนับสนุนให้ กก หลัก-61'!C42</f>
        <v>4565147.6462550946</v>
      </c>
      <c r="C12" s="250">
        <f>+'ต.5 ถั่ว-สนับสนุนให้ กก หลัก-61'!D42</f>
        <v>323452.99376274052</v>
      </c>
      <c r="D12" s="250">
        <f>+'ต.5 ถั่ว-สนับสนุนให้ กก หลัก-61'!E42</f>
        <v>158446.68369027693</v>
      </c>
      <c r="E12" s="251">
        <f t="shared" si="0"/>
        <v>5047047.3237081124</v>
      </c>
      <c r="F12" s="709">
        <v>1</v>
      </c>
      <c r="G12" s="1044" t="s">
        <v>1</v>
      </c>
      <c r="H12" s="163">
        <f t="shared" si="1"/>
        <v>5047047.3237081124</v>
      </c>
      <c r="I12" s="1040">
        <v>604</v>
      </c>
      <c r="M12" s="127" t="s">
        <v>93</v>
      </c>
      <c r="Q12" s="1041">
        <v>11</v>
      </c>
      <c r="R12" s="1042" t="s">
        <v>28</v>
      </c>
    </row>
    <row r="13" spans="1:22" s="127" customFormat="1" ht="43.5" x14ac:dyDescent="0.2">
      <c r="A13" s="1049" t="s">
        <v>501</v>
      </c>
      <c r="B13" s="250">
        <f>+'ต.5 ถั่ว-สนับสนุนให้ กก หลัก-61'!C43</f>
        <v>1155517.4216830228</v>
      </c>
      <c r="C13" s="250">
        <f>+'ต.5 ถั่ว-สนับสนุนให้ กก หลัก-61'!D43</f>
        <v>81871.518371366983</v>
      </c>
      <c r="D13" s="250">
        <f>+'ต.5 ถั่ว-สนับสนุนให้ กก หลัก-61'!E43</f>
        <v>40105.582031329439</v>
      </c>
      <c r="E13" s="251">
        <f t="shared" si="0"/>
        <v>1277494.522085719</v>
      </c>
      <c r="F13" s="709">
        <v>1</v>
      </c>
      <c r="G13" s="1044" t="s">
        <v>1</v>
      </c>
      <c r="H13" s="163">
        <f t="shared" si="1"/>
        <v>1277494.522085719</v>
      </c>
      <c r="I13" s="1040">
        <v>605</v>
      </c>
      <c r="M13" s="127" t="s">
        <v>93</v>
      </c>
      <c r="Q13" s="1041"/>
      <c r="R13" s="1042"/>
    </row>
    <row r="14" spans="1:22" s="127" customFormat="1" ht="43.5" x14ac:dyDescent="0.2">
      <c r="A14" s="1043" t="s">
        <v>502</v>
      </c>
      <c r="B14" s="250">
        <f>+'ต.5 ถั่ว-สนับสนุนให้ กก หลัก-61'!C44</f>
        <v>1155517.4216830228</v>
      </c>
      <c r="C14" s="250">
        <f>+'ต.5 ถั่ว-สนับสนุนให้ กก หลัก-61'!D44</f>
        <v>81871.518371366983</v>
      </c>
      <c r="D14" s="250">
        <f>+'ต.5 ถั่ว-สนับสนุนให้ กก หลัก-61'!E44</f>
        <v>40105.582031329439</v>
      </c>
      <c r="E14" s="251">
        <f t="shared" si="0"/>
        <v>1277494.522085719</v>
      </c>
      <c r="F14" s="709">
        <v>1</v>
      </c>
      <c r="G14" s="1044" t="s">
        <v>1</v>
      </c>
      <c r="H14" s="163">
        <f t="shared" si="1"/>
        <v>1277494.522085719</v>
      </c>
      <c r="I14" s="1040">
        <v>606</v>
      </c>
      <c r="M14" s="127" t="s">
        <v>93</v>
      </c>
      <c r="Q14" s="1041"/>
      <c r="R14" s="1042"/>
    </row>
    <row r="15" spans="1:22" s="127" customFormat="1" ht="43.5" x14ac:dyDescent="0.2">
      <c r="A15" s="1043" t="s">
        <v>503</v>
      </c>
      <c r="B15" s="250">
        <f>+'ต.5 ถั่ว-สนับสนุนให้ กก หลัก-61'!C35</f>
        <v>1424172.632220705</v>
      </c>
      <c r="C15" s="250">
        <f>+'ต.5 ถั่ว-สนับสนุนให้ กก หลัก-61'!D35</f>
        <v>77218.610667219458</v>
      </c>
      <c r="D15" s="250">
        <f>+'ต.5 ถั่ว-สนับสนุนให้ กก หลัก-61'!E35</f>
        <v>342313.56805362453</v>
      </c>
      <c r="E15" s="251">
        <f t="shared" si="0"/>
        <v>1843704.810941549</v>
      </c>
      <c r="F15" s="709">
        <v>882</v>
      </c>
      <c r="G15" s="1044" t="s">
        <v>325</v>
      </c>
      <c r="H15" s="163">
        <f t="shared" si="1"/>
        <v>2090.3682663736386</v>
      </c>
      <c r="I15" s="1040">
        <v>506</v>
      </c>
      <c r="M15" s="127" t="s">
        <v>92</v>
      </c>
      <c r="Q15" s="1041"/>
      <c r="R15" s="1042"/>
    </row>
    <row r="16" spans="1:22" s="127" customFormat="1" x14ac:dyDescent="0.2">
      <c r="A16" s="1043" t="s">
        <v>504</v>
      </c>
      <c r="B16" s="250">
        <f>+'ต.5 ถั่ว-สนับสนุนให้ กก หลัก-61'!C14</f>
        <v>1204402.0627873302</v>
      </c>
      <c r="C16" s="250">
        <f>+'ต.5 ถั่ว-สนับสนุนให้ กก หลัก-61'!D14</f>
        <v>97654.729716554109</v>
      </c>
      <c r="D16" s="250">
        <f>+'ต.5 ถั่ว-สนับสนุนให้ กก หลัก-61'!E14</f>
        <v>38852.738071221451</v>
      </c>
      <c r="E16" s="251">
        <f t="shared" si="0"/>
        <v>1340909.5305751057</v>
      </c>
      <c r="F16" s="709">
        <v>1</v>
      </c>
      <c r="G16" s="1044" t="s">
        <v>1</v>
      </c>
      <c r="H16" s="163">
        <f t="shared" si="1"/>
        <v>1340909.5305751057</v>
      </c>
      <c r="I16" s="1040">
        <v>810</v>
      </c>
      <c r="M16" s="127" t="s">
        <v>239</v>
      </c>
      <c r="Q16" s="1041"/>
      <c r="R16" s="1042"/>
    </row>
    <row r="17" spans="1:18" s="127" customFormat="1" ht="65.25" x14ac:dyDescent="0.2">
      <c r="A17" s="1048" t="s">
        <v>505</v>
      </c>
      <c r="B17" s="1051">
        <f>+'ต.5 ถั่ว-สนับสนุนให้ กก หลัก-61'!C24</f>
        <v>52860902.620575279</v>
      </c>
      <c r="C17" s="1051">
        <f>+'ต.5 ถั่ว-สนับสนุนให้ กก หลัก-61'!D24</f>
        <v>3833345.7644845448</v>
      </c>
      <c r="D17" s="1051">
        <f>+'ต.5 ถั่ว-สนับสนุนให้ กก หลัก-61'!E24</f>
        <v>1404801.972948499</v>
      </c>
      <c r="E17" s="251">
        <f t="shared" si="0"/>
        <v>58099050.358008325</v>
      </c>
      <c r="F17" s="1052">
        <v>28</v>
      </c>
      <c r="G17" s="1053" t="s">
        <v>7</v>
      </c>
      <c r="H17" s="163">
        <f>+E17/F17</f>
        <v>2074966.084214583</v>
      </c>
      <c r="I17" s="1045" t="s">
        <v>551</v>
      </c>
      <c r="M17" s="127" t="s">
        <v>91</v>
      </c>
      <c r="N17" s="1046" t="s">
        <v>410</v>
      </c>
      <c r="Q17" s="1041"/>
      <c r="R17" s="1042"/>
    </row>
    <row r="18" spans="1:18" s="127" customFormat="1" ht="65.25" x14ac:dyDescent="0.2">
      <c r="A18" s="1048" t="s">
        <v>506</v>
      </c>
      <c r="B18" s="1051">
        <f>+'ต.5 ถั่ว-สนับสนุนให้ กก หลัก-61'!C30</f>
        <v>13038658.116906453</v>
      </c>
      <c r="C18" s="1051">
        <f>+'ต.5 ถั่ว-สนับสนุนให้ กก หลัก-61'!D30</f>
        <v>706955.77346015978</v>
      </c>
      <c r="D18" s="1051">
        <f>+'ต.5 ถั่ว-สนับสนุนให้ กก หลัก-61'!E30</f>
        <v>3133966.6846918589</v>
      </c>
      <c r="E18" s="251">
        <f t="shared" si="0"/>
        <v>16879580.575058471</v>
      </c>
      <c r="F18" s="1052">
        <v>1</v>
      </c>
      <c r="G18" s="1053" t="s">
        <v>6</v>
      </c>
      <c r="H18" s="163">
        <f t="shared" si="1"/>
        <v>16879580.575058471</v>
      </c>
      <c r="I18" s="1040">
        <v>703</v>
      </c>
      <c r="M18" s="127" t="s">
        <v>92</v>
      </c>
      <c r="Q18" s="1041"/>
      <c r="R18" s="1042"/>
    </row>
    <row r="19" spans="1:18" s="127" customFormat="1" hidden="1" x14ac:dyDescent="0.2">
      <c r="A19" s="567"/>
      <c r="B19" s="205"/>
      <c r="C19" s="205"/>
      <c r="D19" s="205"/>
      <c r="E19" s="1054"/>
      <c r="F19" s="1055"/>
      <c r="G19" s="1053"/>
      <c r="H19" s="1056"/>
      <c r="I19" s="1047"/>
      <c r="Q19" s="1041"/>
      <c r="R19" s="1042"/>
    </row>
    <row r="20" spans="1:18" s="127" customFormat="1" ht="22.5" thickBot="1" x14ac:dyDescent="0.25">
      <c r="A20" s="1057" t="s">
        <v>71</v>
      </c>
      <c r="B20" s="1058">
        <f>SUM(B4:B19)</f>
        <v>577020617.50999987</v>
      </c>
      <c r="C20" s="1058">
        <f>SUM(C4:C19)</f>
        <v>41360637.719999999</v>
      </c>
      <c r="D20" s="1058">
        <f>SUM(D4:D19)</f>
        <v>43873491.260000028</v>
      </c>
      <c r="E20" s="1058">
        <f>SUM(E4:E19)</f>
        <v>662254746.48999977</v>
      </c>
      <c r="F20" s="1059"/>
      <c r="G20" s="1060"/>
      <c r="H20" s="1061"/>
      <c r="I20" s="1040"/>
      <c r="Q20" s="1042"/>
      <c r="R20" s="1042"/>
    </row>
    <row r="21" spans="1:18" s="127" customFormat="1" ht="23.25" thickTop="1" thickBot="1" x14ac:dyDescent="0.55000000000000004">
      <c r="A21" s="269"/>
      <c r="B21" s="98">
        <f>+'ต.5 ถั่ว-สนับสนุนให้ กก หลัก-61'!C50</f>
        <v>577020617.50999999</v>
      </c>
      <c r="C21" s="98">
        <f>+'ต.5 ถั่ว-สนับสนุนให้ กก หลัก-61'!D50</f>
        <v>41360637.720000006</v>
      </c>
      <c r="D21" s="98">
        <f>+'ต.5 ถั่ว-สนับสนุนให้ กก หลัก-61'!E50</f>
        <v>43873491.26000002</v>
      </c>
      <c r="E21" s="1062">
        <f>+'ต.5 ถั่ว-สนับสนุนให้ กก หลัก-61'!F50</f>
        <v>662254746.49000001</v>
      </c>
      <c r="F21" s="295">
        <f>+E21-E20</f>
        <v>0</v>
      </c>
      <c r="G21" s="269"/>
      <c r="H21" s="269"/>
      <c r="I21" s="1063"/>
      <c r="Q21" s="1060"/>
      <c r="R21" s="1060"/>
    </row>
    <row r="22" spans="1:18" ht="22.5" thickTop="1" x14ac:dyDescent="0.5">
      <c r="B22" s="423">
        <f>+B20-B21</f>
        <v>0</v>
      </c>
      <c r="C22" s="423">
        <f>+C20-C21</f>
        <v>0</v>
      </c>
      <c r="D22" s="423">
        <f>+D20-D21</f>
        <v>0</v>
      </c>
      <c r="E22" s="423">
        <f>+E20-E21</f>
        <v>0</v>
      </c>
      <c r="F22" s="295">
        <f>+E21-E20</f>
        <v>0</v>
      </c>
    </row>
    <row r="23" spans="1:18" x14ac:dyDescent="0.5">
      <c r="D23" s="98" t="s">
        <v>184</v>
      </c>
      <c r="E23" s="98">
        <f>+'ต.2=กระจาย ต.1สู่ ต.2-ปี61'!R29</f>
        <v>662254746.49000001</v>
      </c>
      <c r="Q23" s="295"/>
    </row>
    <row r="24" spans="1:18" x14ac:dyDescent="0.5">
      <c r="E24" s="295">
        <f>+E23-E20</f>
        <v>0</v>
      </c>
    </row>
    <row r="25" spans="1:18" x14ac:dyDescent="0.5">
      <c r="E25" s="295"/>
    </row>
    <row r="28" spans="1:18" s="127" customFormat="1" ht="43.5" x14ac:dyDescent="0.2">
      <c r="A28" s="1048" t="s">
        <v>407</v>
      </c>
      <c r="B28" s="1051"/>
      <c r="C28" s="1051"/>
      <c r="D28" s="1051"/>
      <c r="E28" s="251">
        <f>SUM(B28:D28)</f>
        <v>0</v>
      </c>
      <c r="F28" s="1052"/>
      <c r="G28" s="1053"/>
      <c r="H28" s="163" t="e">
        <f>+E28/F28</f>
        <v>#DIV/0!</v>
      </c>
      <c r="I28" s="1064"/>
      <c r="M28" s="127" t="s">
        <v>92</v>
      </c>
      <c r="Q28" s="1041"/>
      <c r="R28" s="1042"/>
    </row>
    <row r="30" spans="1:18" x14ac:dyDescent="0.5">
      <c r="E30" s="295">
        <f>+E17+E5</f>
        <v>87829252.241887107</v>
      </c>
    </row>
    <row r="31" spans="1:18" x14ac:dyDescent="0.5">
      <c r="E31" s="269">
        <f>+'ต.5 ถั่ว-สนับสนุนให้ กก หลัก-61'!F23</f>
        <v>87829252.241887122</v>
      </c>
    </row>
  </sheetData>
  <phoneticPr fontId="4" type="noConversion"/>
  <pageMargins left="0.86614173228346458" right="0.35433070866141736" top="0.39370078740157483" bottom="0.39370078740157483" header="0" footer="0"/>
  <pageSetup paperSize="9" scale="74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V120"/>
  <sheetViews>
    <sheetView view="pageBreakPreview" topLeftCell="D1" zoomScaleNormal="100" zoomScaleSheetLayoutView="100" workbookViewId="0">
      <pane ySplit="4" topLeftCell="A68" activePane="bottomLeft" state="frozen"/>
      <selection activeCell="E30" sqref="E30"/>
      <selection pane="bottomLeft" activeCell="N4" sqref="N4"/>
    </sheetView>
  </sheetViews>
  <sheetFormatPr defaultColWidth="9" defaultRowHeight="21.75" x14ac:dyDescent="0.5"/>
  <cols>
    <col min="1" max="1" width="3.7109375" style="269" customWidth="1"/>
    <col min="2" max="2" width="48.7109375" style="269" customWidth="1"/>
    <col min="3" max="3" width="17.140625" style="269" customWidth="1"/>
    <col min="4" max="4" width="17.42578125" style="269" customWidth="1"/>
    <col min="5" max="5" width="14.85546875" style="269" bestFit="1" customWidth="1"/>
    <col min="6" max="6" width="16" style="269" bestFit="1" customWidth="1"/>
    <col min="7" max="7" width="14.42578125" style="269" bestFit="1" customWidth="1"/>
    <col min="8" max="8" width="13.42578125" style="270" customWidth="1"/>
    <col min="9" max="9" width="14" style="270" bestFit="1" customWidth="1"/>
    <col min="10" max="10" width="13.85546875" style="269" customWidth="1"/>
    <col min="11" max="11" width="15.42578125" style="269" customWidth="1"/>
    <col min="12" max="12" width="16.85546875" style="269" customWidth="1"/>
    <col min="13" max="19" width="13.7109375" style="269" customWidth="1"/>
    <col min="20" max="20" width="37.5703125" style="269" customWidth="1"/>
    <col min="21" max="21" width="14.5703125" style="269" bestFit="1" customWidth="1"/>
    <col min="22" max="22" width="12.5703125" style="269" customWidth="1"/>
    <col min="23" max="23" width="12.85546875" style="269" bestFit="1" customWidth="1"/>
    <col min="24" max="24" width="9" style="269"/>
    <col min="25" max="25" width="14.140625" style="269" bestFit="1" customWidth="1"/>
    <col min="26" max="16384" width="9" style="269"/>
  </cols>
  <sheetData>
    <row r="1" spans="1:22" ht="24.75" customHeight="1" x14ac:dyDescent="0.5">
      <c r="A1" s="267" t="s">
        <v>388</v>
      </c>
      <c r="B1" s="268"/>
    </row>
    <row r="2" spans="1:22" ht="22.5" thickBot="1" x14ac:dyDescent="0.55000000000000004">
      <c r="C2" s="98"/>
      <c r="D2" s="98"/>
      <c r="E2" s="98"/>
      <c r="F2" s="98"/>
      <c r="G2" s="98"/>
      <c r="H2" s="271"/>
      <c r="I2" s="237"/>
      <c r="J2" s="98"/>
    </row>
    <row r="3" spans="1:22" ht="28.5" customHeight="1" x14ac:dyDescent="0.5">
      <c r="A3" s="272"/>
      <c r="B3" s="273"/>
      <c r="C3" s="1506" t="s">
        <v>67</v>
      </c>
      <c r="D3" s="1507"/>
      <c r="E3" s="1508"/>
      <c r="F3" s="1509" t="s">
        <v>210</v>
      </c>
      <c r="G3" s="1510"/>
      <c r="H3" s="1511"/>
      <c r="I3" s="1509" t="s">
        <v>77</v>
      </c>
      <c r="J3" s="1510"/>
      <c r="K3" s="1511"/>
      <c r="L3" s="1065" t="s">
        <v>193</v>
      </c>
      <c r="M3" s="218"/>
      <c r="N3" s="218"/>
      <c r="O3" s="218"/>
      <c r="P3" s="218"/>
      <c r="Q3" s="218"/>
      <c r="R3" s="218"/>
      <c r="S3" s="218"/>
    </row>
    <row r="4" spans="1:22" s="267" customFormat="1" ht="109.5" thickBot="1" x14ac:dyDescent="0.55000000000000004">
      <c r="A4" s="274"/>
      <c r="B4" s="275" t="s">
        <v>394</v>
      </c>
      <c r="C4" s="276" t="s">
        <v>233</v>
      </c>
      <c r="D4" s="277" t="s">
        <v>211</v>
      </c>
      <c r="E4" s="278" t="s">
        <v>266</v>
      </c>
      <c r="F4" s="279" t="s">
        <v>234</v>
      </c>
      <c r="G4" s="277" t="s">
        <v>212</v>
      </c>
      <c r="H4" s="278" t="s">
        <v>266</v>
      </c>
      <c r="I4" s="279" t="s">
        <v>235</v>
      </c>
      <c r="J4" s="280" t="s">
        <v>213</v>
      </c>
      <c r="K4" s="278" t="s">
        <v>266</v>
      </c>
      <c r="L4" s="281" t="s">
        <v>542</v>
      </c>
      <c r="M4" s="281"/>
      <c r="N4" s="281"/>
      <c r="O4" s="281"/>
      <c r="P4" s="281"/>
      <c r="Q4" s="281"/>
      <c r="R4" s="281"/>
      <c r="S4" s="281"/>
      <c r="T4" s="124"/>
    </row>
    <row r="5" spans="1:22" s="267" customFormat="1" ht="24" customHeight="1" thickBot="1" x14ac:dyDescent="0.55000000000000004">
      <c r="A5" s="282" t="s">
        <v>79</v>
      </c>
      <c r="B5" s="283"/>
      <c r="C5" s="284"/>
      <c r="D5" s="285"/>
      <c r="E5" s="286"/>
      <c r="F5" s="284"/>
      <c r="G5" s="285"/>
      <c r="H5" s="286"/>
      <c r="I5" s="284"/>
      <c r="J5" s="287"/>
      <c r="K5" s="286"/>
      <c r="L5" s="218"/>
      <c r="M5" s="218"/>
      <c r="N5" s="218"/>
      <c r="O5" s="218"/>
      <c r="P5" s="218"/>
      <c r="Q5" s="218"/>
      <c r="R5" s="218"/>
      <c r="S5" s="218"/>
      <c r="T5" s="124"/>
    </row>
    <row r="6" spans="1:22" ht="24" customHeight="1" x14ac:dyDescent="0.5">
      <c r="A6" s="288" t="s">
        <v>239</v>
      </c>
      <c r="B6" s="289"/>
      <c r="C6" s="290">
        <f>SUM(C7:C16)</f>
        <v>50205519.441729091</v>
      </c>
      <c r="D6" s="291">
        <f>+C6*$D$73/$C$70</f>
        <v>9418345.0526931901</v>
      </c>
      <c r="E6" s="292">
        <f>SUM(E7:E16)</f>
        <v>59623864.494422302</v>
      </c>
      <c r="F6" s="290">
        <f>SUM(F7:F16)</f>
        <v>3074706.0608974351</v>
      </c>
      <c r="G6" s="291">
        <f>+F6*$G$73/$F$70</f>
        <v>1759686.4993280151</v>
      </c>
      <c r="H6" s="292">
        <f>SUM(H7:H16)</f>
        <v>4834392.5602254514</v>
      </c>
      <c r="I6" s="290">
        <f>SUM(I7:I16)</f>
        <v>1485494.6971428571</v>
      </c>
      <c r="J6" s="293">
        <f>+I6*$J$73/$I$70</f>
        <v>437908.17767008586</v>
      </c>
      <c r="K6" s="292">
        <f>SUM(K7:K16)</f>
        <v>1923402.8748129427</v>
      </c>
      <c r="L6" s="761">
        <f>+E6+H6+K6</f>
        <v>66381659.929460697</v>
      </c>
      <c r="M6" s="294"/>
      <c r="N6" s="294"/>
      <c r="O6" s="294"/>
      <c r="P6" s="294"/>
      <c r="Q6" s="294"/>
      <c r="R6" s="294"/>
      <c r="S6" s="294"/>
      <c r="T6" s="98">
        <f>+C6+F6+I6</f>
        <v>54765720.199769378</v>
      </c>
      <c r="U6" s="295">
        <f>+'ข้อมูล ต.3-505,708,709ไป สนน.'!F5</f>
        <v>54765720.199769378</v>
      </c>
      <c r="V6" s="295"/>
    </row>
    <row r="7" spans="1:22" ht="24" customHeight="1" x14ac:dyDescent="0.5">
      <c r="A7" s="296">
        <f>+'ข้อมูล ต.3-505,708,709ไป สนน.'!A6</f>
        <v>800</v>
      </c>
      <c r="B7" s="297" t="str">
        <f>+'ข้อมูล ต.3-505,708,709ไป สนน.'!B6</f>
        <v>งานจัดทำแผนพัฒนาการเกษตร</v>
      </c>
      <c r="C7" s="298">
        <f>+'ข้อมูล ต.3-505,708,709ไป สนน.'!C6</f>
        <v>9639459.7328119855</v>
      </c>
      <c r="D7" s="299">
        <f>+C7*$D$6/$C$6</f>
        <v>1808322.2501170926</v>
      </c>
      <c r="E7" s="300">
        <f>+C7+D7</f>
        <v>11447781.982929079</v>
      </c>
      <c r="F7" s="298">
        <f>+'ข้อมูล ต.3-505,708,709ไป สนน.'!D6</f>
        <v>590343.56369230757</v>
      </c>
      <c r="G7" s="299">
        <f>+F7*$G$6/$F$6</f>
        <v>337859.80787097896</v>
      </c>
      <c r="H7" s="301">
        <f>+F7+G7</f>
        <v>928203.37156328652</v>
      </c>
      <c r="I7" s="298">
        <f>+'ข้อมูล ต.3-505,708,709ไป สนน.'!E6</f>
        <v>285214.98185142857</v>
      </c>
      <c r="J7" s="302">
        <f>+I7*$J$6/$I$6</f>
        <v>84078.370112656485</v>
      </c>
      <c r="K7" s="301">
        <f>+I7+J7</f>
        <v>369293.35196408507</v>
      </c>
      <c r="L7" s="225"/>
      <c r="M7" s="225"/>
      <c r="N7" s="225"/>
      <c r="O7" s="225"/>
      <c r="P7" s="225"/>
      <c r="Q7" s="225"/>
      <c r="R7" s="225"/>
      <c r="S7" s="225"/>
      <c r="T7" s="98"/>
      <c r="V7" s="295"/>
    </row>
    <row r="8" spans="1:22" ht="24" customHeight="1" x14ac:dyDescent="0.5">
      <c r="A8" s="303">
        <f>+'ข้อมูล ต.3-505,708,709ไป สนน.'!A7</f>
        <v>801</v>
      </c>
      <c r="B8" s="304" t="str">
        <f>+'ข้อมูล ต.3-505,708,709ไป สนน.'!B7</f>
        <v>งานจัดทำภาวะเศรษฐกิจการเกษตร</v>
      </c>
      <c r="C8" s="249">
        <f>+'ข้อมูล ต.3-505,708,709ไป สนน.'!C7</f>
        <v>7897328.2081839871</v>
      </c>
      <c r="D8" s="250">
        <f>+C8*$D$6/$C$6</f>
        <v>1481505.676788639</v>
      </c>
      <c r="E8" s="305">
        <f>+C8+D8</f>
        <v>9378833.8849726263</v>
      </c>
      <c r="F8" s="249">
        <f>+'ข้อมูล ต.3-505,708,709ไป สนน.'!D7</f>
        <v>483651.26337916666</v>
      </c>
      <c r="G8" s="250">
        <f t="shared" ref="G8:G16" si="0">+F8*$G$6/$F$6</f>
        <v>276798.68634429685</v>
      </c>
      <c r="H8" s="306">
        <f t="shared" ref="H8:H16" si="1">+F8+G8</f>
        <v>760449.94972346351</v>
      </c>
      <c r="I8" s="249">
        <f>+'ข้อมูล ต.3-505,708,709ไป สนน.'!E7</f>
        <v>233668.31586057143</v>
      </c>
      <c r="J8" s="307">
        <f t="shared" ref="J8:J16" si="2">+I8*$J$6/$I$6</f>
        <v>68882.956347504514</v>
      </c>
      <c r="K8" s="306">
        <f t="shared" ref="K8:K16" si="3">+I8+J8</f>
        <v>302551.27220807597</v>
      </c>
      <c r="L8" s="225"/>
      <c r="M8" s="225"/>
      <c r="N8" s="225"/>
      <c r="O8" s="225"/>
      <c r="P8" s="225"/>
      <c r="Q8" s="225"/>
      <c r="R8" s="225"/>
      <c r="S8" s="225"/>
      <c r="T8" s="98"/>
      <c r="V8" s="295"/>
    </row>
    <row r="9" spans="1:22" ht="24" customHeight="1" x14ac:dyDescent="0.5">
      <c r="A9" s="303">
        <f>+'ข้อมูล ต.3-505,708,709ไป สนน.'!A8</f>
        <v>802</v>
      </c>
      <c r="B9" s="304" t="str">
        <f>+'ข้อมูล ต.3-505,708,709ไป สนน.'!B8</f>
        <v>งานจัดทำยุทธศาสตร์ มาตรการ แนวทางการพัฒนาการเกษตร</v>
      </c>
      <c r="C9" s="249">
        <f>+'ข้อมูล ต.3-505,708,709ไป สนน.'!C8</f>
        <v>10884556.614966869</v>
      </c>
      <c r="D9" s="250">
        <f t="shared" ref="D9:D16" si="4">+C9*$D$6/$C$6</f>
        <v>2041897.2074238842</v>
      </c>
      <c r="E9" s="305">
        <f t="shared" ref="E9:E16" si="5">+C9+D9</f>
        <v>12926453.822390754</v>
      </c>
      <c r="F9" s="249">
        <f>+'ข้อมูล ต.3-505,708,709ไป สนน.'!D8</f>
        <v>666596.27400256402</v>
      </c>
      <c r="G9" s="250">
        <f t="shared" si="0"/>
        <v>381500.03305431368</v>
      </c>
      <c r="H9" s="306">
        <f t="shared" si="1"/>
        <v>1048096.3070568778</v>
      </c>
      <c r="I9" s="249">
        <f>+'ข้อมูล ต.3-505,708,709ไป สนน.'!E8</f>
        <v>322055.25034057139</v>
      </c>
      <c r="J9" s="307">
        <f t="shared" si="2"/>
        <v>94938.492918874617</v>
      </c>
      <c r="K9" s="306">
        <f t="shared" si="3"/>
        <v>416993.743259446</v>
      </c>
      <c r="L9" s="225"/>
      <c r="M9" s="225"/>
      <c r="N9" s="225"/>
      <c r="O9" s="225"/>
      <c r="P9" s="225"/>
      <c r="Q9" s="225"/>
      <c r="R9" s="225"/>
      <c r="S9" s="225"/>
      <c r="T9" s="98"/>
      <c r="V9" s="295"/>
    </row>
    <row r="10" spans="1:22" ht="24" customHeight="1" x14ac:dyDescent="0.5">
      <c r="A10" s="303">
        <f>+'ข้อมูล ต.3-505,708,709ไป สนน.'!A9</f>
        <v>803</v>
      </c>
      <c r="B10" s="304" t="str">
        <f>+'ข้อมูล ต.3-505,708,709ไป สนน.'!B9</f>
        <v>งานวิเคราะห์แผนงาน โครงการและงบประมาณของ กษ.</v>
      </c>
      <c r="C10" s="249">
        <f>+'ข้อมูล ต.3-505,708,709ไป สนน.'!C9</f>
        <v>5522607.1385902008</v>
      </c>
      <c r="D10" s="250">
        <f t="shared" si="4"/>
        <v>1036017.955796251</v>
      </c>
      <c r="E10" s="305">
        <f t="shared" si="5"/>
        <v>6558625.0943864519</v>
      </c>
      <c r="F10" s="249">
        <f>+'ข้อมูล ต.3-505,708,709ไป สนน.'!D9</f>
        <v>338217.66669871792</v>
      </c>
      <c r="G10" s="250">
        <f t="shared" si="0"/>
        <v>193565.5149260817</v>
      </c>
      <c r="H10" s="306">
        <f t="shared" si="1"/>
        <v>531783.18162479962</v>
      </c>
      <c r="I10" s="249">
        <f>+'ข้อมูล ต.3-505,708,709ไป สนน.'!E9</f>
        <v>163404.41668571427</v>
      </c>
      <c r="J10" s="307">
        <f t="shared" si="2"/>
        <v>48169.899543709435</v>
      </c>
      <c r="K10" s="306">
        <f t="shared" si="3"/>
        <v>211574.31622942371</v>
      </c>
      <c r="L10" s="225"/>
      <c r="M10" s="225"/>
      <c r="N10" s="225"/>
      <c r="O10" s="225"/>
      <c r="P10" s="225"/>
      <c r="Q10" s="225"/>
      <c r="R10" s="225"/>
      <c r="S10" s="225"/>
      <c r="T10" s="98"/>
      <c r="V10" s="295"/>
    </row>
    <row r="11" spans="1:22" ht="24" customHeight="1" x14ac:dyDescent="0.5">
      <c r="A11" s="303">
        <f>+'ข้อมูล ต.3-505,708,709ไป สนน.'!A10</f>
        <v>804</v>
      </c>
      <c r="B11" s="304" t="str">
        <f>+'ข้อมูล ต.3-505,708,709ไป สนน.'!B10</f>
        <v>งานติดตามผลการดำเนินงานของ กษ.</v>
      </c>
      <c r="C11" s="249">
        <f>+'ข้อมูล ต.3-505,708,709ไป สนน.'!C10</f>
        <v>1506165.583251873</v>
      </c>
      <c r="D11" s="250">
        <f t="shared" si="4"/>
        <v>282550.35158079577</v>
      </c>
      <c r="E11" s="305">
        <f t="shared" si="5"/>
        <v>1788715.9348326689</v>
      </c>
      <c r="F11" s="249">
        <f>+'ข้อมูล ต.3-505,708,709ไป สนน.'!D10</f>
        <v>92241.181826923057</v>
      </c>
      <c r="G11" s="250">
        <f t="shared" si="0"/>
        <v>52790.594979840454</v>
      </c>
      <c r="H11" s="306">
        <f t="shared" si="1"/>
        <v>145031.77680676352</v>
      </c>
      <c r="I11" s="249">
        <f>+'ข้อมูล ต.3-505,708,709ไป สนน.'!E10</f>
        <v>44564.840914285713</v>
      </c>
      <c r="J11" s="307">
        <f t="shared" si="2"/>
        <v>13137.245330102576</v>
      </c>
      <c r="K11" s="306">
        <f t="shared" si="3"/>
        <v>57702.086244388287</v>
      </c>
      <c r="L11" s="225"/>
      <c r="M11" s="225"/>
      <c r="N11" s="225"/>
      <c r="O11" s="225"/>
      <c r="P11" s="225"/>
      <c r="Q11" s="225"/>
      <c r="R11" s="225"/>
      <c r="S11" s="225"/>
      <c r="T11" s="98"/>
      <c r="V11" s="295"/>
    </row>
    <row r="12" spans="1:22" ht="24" customHeight="1" x14ac:dyDescent="0.5">
      <c r="A12" s="303">
        <f>+'ข้อมูล ต.3-505,708,709ไป สนน.'!A11</f>
        <v>805</v>
      </c>
      <c r="B12" s="304" t="str">
        <f>+'ข้อมูล ต.3-505,708,709ไป สนน.'!B11</f>
        <v>งานติดตามผลการใช้จ่ายเงินของ กษ.</v>
      </c>
      <c r="C12" s="249">
        <f>+'ข้อมูล ต.3-505,708,709ไป สนน.'!C11</f>
        <v>2008220.7776691639</v>
      </c>
      <c r="D12" s="250">
        <f t="shared" si="4"/>
        <v>376733.80210772762</v>
      </c>
      <c r="E12" s="305">
        <f t="shared" si="5"/>
        <v>2384954.5797768915</v>
      </c>
      <c r="F12" s="249">
        <f>+'ข้อมูล ต.3-505,708,709ไป สนน.'!D11</f>
        <v>122988.24243589742</v>
      </c>
      <c r="G12" s="250">
        <f t="shared" si="0"/>
        <v>70387.459973120611</v>
      </c>
      <c r="H12" s="306">
        <f t="shared" si="1"/>
        <v>193375.70240901803</v>
      </c>
      <c r="I12" s="249">
        <f>+'ข้อมูล ต.3-505,708,709ไป สนน.'!E11</f>
        <v>59419.787885714286</v>
      </c>
      <c r="J12" s="307">
        <f t="shared" si="2"/>
        <v>17516.327106803434</v>
      </c>
      <c r="K12" s="306">
        <f t="shared" si="3"/>
        <v>76936.114992517716</v>
      </c>
      <c r="L12" s="225"/>
      <c r="M12" s="225"/>
      <c r="N12" s="225"/>
      <c r="O12" s="225"/>
      <c r="P12" s="225"/>
      <c r="Q12" s="225"/>
      <c r="R12" s="225"/>
      <c r="S12" s="225"/>
      <c r="T12" s="98"/>
      <c r="V12" s="295"/>
    </row>
    <row r="13" spans="1:22" ht="24" customHeight="1" x14ac:dyDescent="0.5">
      <c r="A13" s="303">
        <f>+'ข้อมูล ต.3-505,708,709ไป สนน.'!A12</f>
        <v>806</v>
      </c>
      <c r="B13" s="304" t="str">
        <f>+'ข้อมูล ต.3-505,708,709ไป สนน.'!B12</f>
        <v xml:space="preserve">งานจัดประชุม </v>
      </c>
      <c r="C13" s="249">
        <f>+'ข้อมูล ต.3-505,708,709ไป สนน.'!C12</f>
        <v>6210422.7549418891</v>
      </c>
      <c r="D13" s="250">
        <f t="shared" si="4"/>
        <v>1165049.2830181478</v>
      </c>
      <c r="E13" s="305">
        <f t="shared" si="5"/>
        <v>7375472.0379600367</v>
      </c>
      <c r="F13" s="249">
        <f>+'ข้อมูล ต.3-505,708,709ไป สนน.'!D12</f>
        <v>380341.13973301277</v>
      </c>
      <c r="G13" s="250">
        <f t="shared" si="0"/>
        <v>217673.21996687548</v>
      </c>
      <c r="H13" s="306">
        <f t="shared" si="1"/>
        <v>598014.35969988827</v>
      </c>
      <c r="I13" s="249">
        <f>+'ข้อมูล ต.3-505,708,709ไป สนน.'!E12</f>
        <v>183755.69403657143</v>
      </c>
      <c r="J13" s="307">
        <f t="shared" si="2"/>
        <v>54169.241577789617</v>
      </c>
      <c r="K13" s="306">
        <f t="shared" si="3"/>
        <v>237924.93561436105</v>
      </c>
      <c r="L13" s="225"/>
      <c r="M13" s="225"/>
      <c r="N13" s="225"/>
      <c r="O13" s="225"/>
      <c r="P13" s="225"/>
      <c r="Q13" s="225"/>
      <c r="R13" s="225"/>
      <c r="S13" s="225"/>
      <c r="T13" s="98"/>
      <c r="V13" s="295"/>
    </row>
    <row r="14" spans="1:22" s="730" customFormat="1" ht="24" customHeight="1" x14ac:dyDescent="0.5">
      <c r="A14" s="711">
        <f>+'ข้อมูล ต.3-505,708,709ไป สนน.'!A14</f>
        <v>808</v>
      </c>
      <c r="B14" s="712" t="str">
        <f>+'ข้อมูล ต.3-505,708,709ไป สนน.'!B14</f>
        <v>การบริหารจัดการเกษตรเขตเศรษฐกิจ***</v>
      </c>
      <c r="C14" s="734">
        <f>+'ข้อมูล ต.3-505,708,709ไป สนน.'!C14</f>
        <v>4518496.7497556182</v>
      </c>
      <c r="D14" s="732">
        <f t="shared" si="4"/>
        <v>847651.05474238715</v>
      </c>
      <c r="E14" s="763">
        <f t="shared" si="5"/>
        <v>5366147.8044980057</v>
      </c>
      <c r="F14" s="734">
        <f>+'ข้อมูล ต.3-505,708,709ไป สนน.'!D14</f>
        <v>276723.54548076919</v>
      </c>
      <c r="G14" s="732">
        <f t="shared" si="0"/>
        <v>158371.78493952137</v>
      </c>
      <c r="H14" s="764">
        <f t="shared" si="1"/>
        <v>435095.33042029059</v>
      </c>
      <c r="I14" s="734">
        <f>+'ข้อมูล ต.3-505,708,709ไป สนน.'!E14</f>
        <v>133694.52274285714</v>
      </c>
      <c r="J14" s="735">
        <f t="shared" si="2"/>
        <v>39411.735990307723</v>
      </c>
      <c r="K14" s="764">
        <f t="shared" si="3"/>
        <v>173106.25873316487</v>
      </c>
      <c r="L14" s="728"/>
      <c r="M14" s="728"/>
      <c r="N14" s="728"/>
      <c r="O14" s="728"/>
      <c r="P14" s="728"/>
      <c r="Q14" s="728"/>
      <c r="R14" s="728"/>
      <c r="S14" s="728"/>
      <c r="T14" s="736"/>
      <c r="V14" s="731"/>
    </row>
    <row r="15" spans="1:22" s="730" customFormat="1" ht="24" customHeight="1" x14ac:dyDescent="0.5">
      <c r="A15" s="711">
        <f>+'ข้อมูล ต.3-505,708,709ไป สนน.'!A15</f>
        <v>809</v>
      </c>
      <c r="B15" s="712" t="str">
        <f>+'ข้อมูล ต.3-505,708,709ไป สนน.'!B15</f>
        <v>การพัฒนาโครงสร้างพื้นฐานและระบบโลจิสติกส์</v>
      </c>
      <c r="C15" s="734">
        <f>+'ข้อมูล ต.3-505,708,709ไป สนน.'!C15</f>
        <v>1004110.3888345819</v>
      </c>
      <c r="D15" s="732">
        <f t="shared" si="4"/>
        <v>188366.90105386381</v>
      </c>
      <c r="E15" s="763">
        <f t="shared" si="5"/>
        <v>1192477.2898884458</v>
      </c>
      <c r="F15" s="734">
        <f>+'ข้อมูล ต.3-505,708,709ไป สนน.'!D15</f>
        <v>61494.121217948712</v>
      </c>
      <c r="G15" s="732">
        <f t="shared" si="0"/>
        <v>35193.729986560305</v>
      </c>
      <c r="H15" s="764">
        <f t="shared" si="1"/>
        <v>96687.851204509017</v>
      </c>
      <c r="I15" s="734">
        <f>+'ข้อมูล ต.3-505,708,709ไป สนน.'!E15</f>
        <v>29709.893942857143</v>
      </c>
      <c r="J15" s="735">
        <f t="shared" si="2"/>
        <v>8758.1635534017169</v>
      </c>
      <c r="K15" s="764">
        <f t="shared" si="3"/>
        <v>38468.057496258858</v>
      </c>
      <c r="L15" s="728"/>
      <c r="M15" s="728"/>
      <c r="N15" s="728"/>
      <c r="O15" s="728"/>
      <c r="P15" s="728"/>
      <c r="Q15" s="728"/>
      <c r="R15" s="728"/>
      <c r="S15" s="728"/>
      <c r="T15" s="736"/>
      <c r="V15" s="731"/>
    </row>
    <row r="16" spans="1:22" s="730" customFormat="1" ht="24" customHeight="1" x14ac:dyDescent="0.5">
      <c r="A16" s="711">
        <f>+'ข้อมูล ต.3-505,708,709ไป สนน.'!A16</f>
        <v>810</v>
      </c>
      <c r="B16" s="712" t="str">
        <f>+'ข้อมูล ต.3-505,708,709ไป สนน.'!B16</f>
        <v>การพัฒนาเกษตรอินทรีย์***</v>
      </c>
      <c r="C16" s="734">
        <f>+'ข้อมูล ต.3-505,708,709ไป สนน.'!C16</f>
        <v>1014151.4927229278</v>
      </c>
      <c r="D16" s="732">
        <f t="shared" si="4"/>
        <v>190250.57006440245</v>
      </c>
      <c r="E16" s="763">
        <f t="shared" si="5"/>
        <v>1204402.0627873302</v>
      </c>
      <c r="F16" s="734">
        <f>+'ข้อมูล ต.3-505,708,709ไป สนน.'!D16</f>
        <v>62109.062430128193</v>
      </c>
      <c r="G16" s="732">
        <f t="shared" si="0"/>
        <v>35545.667286425909</v>
      </c>
      <c r="H16" s="764">
        <f t="shared" si="1"/>
        <v>97654.729716554109</v>
      </c>
      <c r="I16" s="734">
        <f>+'ข้อมูล ต.3-505,708,709ไป สนน.'!E16</f>
        <v>30006.992882285715</v>
      </c>
      <c r="J16" s="735">
        <f t="shared" si="2"/>
        <v>8845.7451889357344</v>
      </c>
      <c r="K16" s="764">
        <f t="shared" si="3"/>
        <v>38852.738071221451</v>
      </c>
      <c r="L16" s="728"/>
      <c r="M16" s="728"/>
      <c r="N16" s="728"/>
      <c r="O16" s="728"/>
      <c r="P16" s="728"/>
      <c r="Q16" s="728"/>
      <c r="R16" s="728"/>
      <c r="S16" s="728"/>
      <c r="T16" s="736"/>
      <c r="V16" s="731"/>
    </row>
    <row r="17" spans="1:22" ht="24" customHeight="1" thickBot="1" x14ac:dyDescent="0.55000000000000004">
      <c r="A17" s="308"/>
      <c r="B17" s="309"/>
      <c r="C17" s="310"/>
      <c r="D17" s="311"/>
      <c r="E17" s="312"/>
      <c r="F17" s="310"/>
      <c r="G17" s="311"/>
      <c r="H17" s="312"/>
      <c r="I17" s="310"/>
      <c r="J17" s="313"/>
      <c r="K17" s="312"/>
      <c r="L17" s="144"/>
      <c r="M17" s="144"/>
      <c r="N17" s="144"/>
      <c r="O17" s="144"/>
      <c r="P17" s="144"/>
      <c r="Q17" s="144"/>
      <c r="R17" s="144"/>
      <c r="S17" s="144"/>
      <c r="T17" s="98"/>
      <c r="V17" s="295"/>
    </row>
    <row r="18" spans="1:22" ht="24" customHeight="1" x14ac:dyDescent="0.5">
      <c r="A18" s="288" t="s">
        <v>137</v>
      </c>
      <c r="B18" s="289"/>
      <c r="C18" s="290">
        <f>+C19</f>
        <v>1797051.5097435897</v>
      </c>
      <c r="D18" s="291">
        <f>+C18*$D$73/$C$70</f>
        <v>337119.33238481107</v>
      </c>
      <c r="E18" s="292">
        <f>+E19</f>
        <v>2134170.8421284007</v>
      </c>
      <c r="F18" s="290">
        <f t="shared" ref="F18:K18" si="6">+F19</f>
        <v>519668.9905555555</v>
      </c>
      <c r="G18" s="291">
        <f>+F18*$G$73/$F$70</f>
        <v>297412.00904684881</v>
      </c>
      <c r="H18" s="292">
        <f t="shared" si="6"/>
        <v>817080.99960240431</v>
      </c>
      <c r="I18" s="290">
        <f t="shared" si="6"/>
        <v>252444.79</v>
      </c>
      <c r="J18" s="293">
        <f>+I18*$J$73/$I$70</f>
        <v>74418.062995331158</v>
      </c>
      <c r="K18" s="292">
        <f t="shared" si="6"/>
        <v>326862.85299533117</v>
      </c>
      <c r="L18" s="761">
        <f>+E18+H18+K18</f>
        <v>3278114.6947261365</v>
      </c>
      <c r="M18" s="294"/>
      <c r="N18" s="294"/>
      <c r="O18" s="294"/>
      <c r="P18" s="294"/>
      <c r="Q18" s="294"/>
      <c r="R18" s="294"/>
      <c r="S18" s="294"/>
      <c r="T18" s="98">
        <f>+C18+F18+I18</f>
        <v>2569165.290299145</v>
      </c>
      <c r="U18" s="295">
        <f>+'ข้อมูล ต.3-505,708,709ไป สนน.'!F17</f>
        <v>2569165.290299145</v>
      </c>
      <c r="V18" s="295"/>
    </row>
    <row r="19" spans="1:22" ht="24" customHeight="1" x14ac:dyDescent="0.5">
      <c r="A19" s="314">
        <f>+'ข้อมูล ต.3-505,708,709ไป สนน.'!A18</f>
        <v>807</v>
      </c>
      <c r="B19" s="315" t="str">
        <f>+'ข้อมูล ต.3-505,708,709ไป สนน.'!B18</f>
        <v>งานศูนย์ปฏิบัติการเศรษฐกิจการเกษตร</v>
      </c>
      <c r="C19" s="316">
        <f>+'ข้อมูล ต.3-505,708,709ไป สนน.'!C18</f>
        <v>1797051.5097435897</v>
      </c>
      <c r="D19" s="317">
        <f>+C19*$D$18/$C$18</f>
        <v>337119.33238481107</v>
      </c>
      <c r="E19" s="318">
        <f>+C19+D19</f>
        <v>2134170.8421284007</v>
      </c>
      <c r="F19" s="319">
        <f>+'ข้อมูล ต.3-505,708,709ไป สนน.'!D18</f>
        <v>519668.9905555555</v>
      </c>
      <c r="G19" s="317">
        <f>+F19*$G$18/$F$18</f>
        <v>297412.00904684881</v>
      </c>
      <c r="H19" s="320">
        <f>+F19+G19</f>
        <v>817080.99960240431</v>
      </c>
      <c r="I19" s="319">
        <f>+'ข้อมูล ต.3-505,708,709ไป สนน.'!E18</f>
        <v>252444.79</v>
      </c>
      <c r="J19" s="321">
        <f>+I19*$J$18/$I$18</f>
        <v>74418.062995331158</v>
      </c>
      <c r="K19" s="320">
        <f>+I19+J19</f>
        <v>326862.85299533117</v>
      </c>
      <c r="L19" s="225"/>
      <c r="M19" s="225"/>
      <c r="N19" s="225"/>
      <c r="O19" s="225"/>
      <c r="P19" s="225"/>
      <c r="Q19" s="225"/>
      <c r="R19" s="225"/>
      <c r="S19" s="225"/>
      <c r="T19" s="98"/>
      <c r="V19" s="295"/>
    </row>
    <row r="20" spans="1:22" ht="24" customHeight="1" thickBot="1" x14ac:dyDescent="0.55000000000000004">
      <c r="A20" s="308"/>
      <c r="B20" s="309"/>
      <c r="C20" s="310"/>
      <c r="D20" s="311"/>
      <c r="E20" s="312"/>
      <c r="F20" s="310"/>
      <c r="G20" s="311"/>
      <c r="H20" s="312"/>
      <c r="I20" s="310"/>
      <c r="J20" s="313"/>
      <c r="K20" s="312"/>
      <c r="L20" s="144"/>
      <c r="M20" s="144"/>
      <c r="N20" s="144"/>
      <c r="O20" s="144"/>
      <c r="P20" s="144"/>
      <c r="Q20" s="144"/>
      <c r="R20" s="144"/>
      <c r="S20" s="144"/>
      <c r="T20" s="98"/>
      <c r="V20" s="295"/>
    </row>
    <row r="21" spans="1:22" ht="24" customHeight="1" x14ac:dyDescent="0.5">
      <c r="A21" s="288" t="s">
        <v>240</v>
      </c>
      <c r="B21" s="289"/>
      <c r="C21" s="290">
        <f>SUM(C22:C26)</f>
        <v>12972674.716770051</v>
      </c>
      <c r="D21" s="291">
        <f>+C21*$D$73/$C$70</f>
        <v>2433619.4127161345</v>
      </c>
      <c r="E21" s="292">
        <f>SUM(E22:E26)</f>
        <v>15406294.129486185</v>
      </c>
      <c r="F21" s="290">
        <f>SUM(F22:F26)</f>
        <v>964400.66915407672</v>
      </c>
      <c r="G21" s="291">
        <f>+F21*$G$73/$F$70</f>
        <v>551936.60917232698</v>
      </c>
      <c r="H21" s="292">
        <f>SUM(H22:H26)</f>
        <v>1516337.2783264038</v>
      </c>
      <c r="I21" s="290">
        <f>SUM(I22:I26)</f>
        <v>341304.5184917142</v>
      </c>
      <c r="J21" s="293">
        <f>+I21*$J$73/$I$70</f>
        <v>100612.97425749034</v>
      </c>
      <c r="K21" s="292">
        <f>SUM(K22:K26)</f>
        <v>441917.49274920451</v>
      </c>
      <c r="L21" s="761">
        <f>+E21+H21+K21</f>
        <v>17364548.900561791</v>
      </c>
      <c r="M21" s="294"/>
      <c r="N21" s="294"/>
      <c r="O21" s="294"/>
      <c r="P21" s="294"/>
      <c r="Q21" s="294"/>
      <c r="R21" s="294"/>
      <c r="S21" s="294"/>
      <c r="T21" s="98">
        <f>+C21+F21+I21</f>
        <v>14278379.90441584</v>
      </c>
      <c r="U21" s="295">
        <f>+'ข้อมูล ต.3-505,708,709ไป สนน.'!F19</f>
        <v>14278379.90441584</v>
      </c>
      <c r="V21" s="295"/>
    </row>
    <row r="22" spans="1:22" ht="24" customHeight="1" x14ac:dyDescent="0.5">
      <c r="A22" s="322">
        <f>+'ข้อมูล ต.3-505,708,709ไป สนน.'!A20</f>
        <v>500</v>
      </c>
      <c r="B22" s="323" t="str">
        <f>+'ข้อมูล ต.3-505,708,709ไป สนน.'!B20</f>
        <v>ภูมิภาคและอนุภูมิภาค</v>
      </c>
      <c r="C22" s="324">
        <f>+'ข้อมูล ต.3-505,708,709ไป สนน.'!C20</f>
        <v>2367647.1801979714</v>
      </c>
      <c r="D22" s="299">
        <f>+C22*$D$21/$C$21</f>
        <v>444160.68898604246</v>
      </c>
      <c r="E22" s="300">
        <f>+C22+D22</f>
        <v>2811807.8691840139</v>
      </c>
      <c r="F22" s="298">
        <f>+'ข้อมูล ต.3-505,708,709ไป สนน.'!D20</f>
        <v>176013.08710469227</v>
      </c>
      <c r="G22" s="299">
        <f>+F22*$G$21/$F$21</f>
        <v>100734.13423876057</v>
      </c>
      <c r="H22" s="301">
        <f>+F22+G22</f>
        <v>276747.22134345281</v>
      </c>
      <c r="I22" s="298">
        <f>+'ข้อมูล ต.3-505,708,709ไป สนน.'!E20</f>
        <v>62291.601264857134</v>
      </c>
      <c r="J22" s="302">
        <f>+I22*$J$21/$I$21</f>
        <v>18362.907418323775</v>
      </c>
      <c r="K22" s="301">
        <f>+I22+J22</f>
        <v>80654.508683180902</v>
      </c>
      <c r="L22" s="225"/>
      <c r="M22" s="225"/>
      <c r="N22" s="225"/>
      <c r="O22" s="225"/>
      <c r="P22" s="225"/>
      <c r="Q22" s="225"/>
      <c r="R22" s="225"/>
      <c r="S22" s="225"/>
      <c r="T22" s="98"/>
      <c r="V22" s="295"/>
    </row>
    <row r="23" spans="1:22" ht="24" customHeight="1" x14ac:dyDescent="0.5">
      <c r="A23" s="128">
        <f>+'ข้อมูล ต.3-505,708,709ไป สนน.'!A21</f>
        <v>501</v>
      </c>
      <c r="B23" s="76" t="str">
        <f>+'ข้อมูล ต.3-505,708,709ไป สนน.'!B21</f>
        <v>เศรษฐกิจและการค้า</v>
      </c>
      <c r="C23" s="325">
        <f>+'ข้อมูล ต.3-505,708,709ไป สนน.'!C21</f>
        <v>1893553.3467375906</v>
      </c>
      <c r="D23" s="250">
        <f>+C23*$D$21/$C$21</f>
        <v>355222.67259789561</v>
      </c>
      <c r="E23" s="305">
        <f>+C23+D23</f>
        <v>2248776.019335486</v>
      </c>
      <c r="F23" s="249">
        <f>+'ข้อมูล ต.3-505,708,709ไป สนน.'!D21</f>
        <v>140768.51185607689</v>
      </c>
      <c r="G23" s="250">
        <f>+F23*$G$21/$F$21</f>
        <v>80563.294486541534</v>
      </c>
      <c r="H23" s="306">
        <f>+F23+G23</f>
        <v>221331.80634261842</v>
      </c>
      <c r="I23" s="249">
        <f>+'ข้อมูล ต.3-505,708,709ไป สนน.'!E21</f>
        <v>49818.432000857138</v>
      </c>
      <c r="J23" s="307">
        <f>+I23*$J$21/$I$21</f>
        <v>14685.948602735703</v>
      </c>
      <c r="K23" s="306">
        <f>+I23+J23</f>
        <v>64504.380603592843</v>
      </c>
      <c r="L23" s="225"/>
      <c r="M23" s="225"/>
      <c r="N23" s="225"/>
      <c r="O23" s="225"/>
      <c r="P23" s="225"/>
      <c r="Q23" s="225"/>
      <c r="R23" s="225"/>
      <c r="S23" s="225"/>
      <c r="T23" s="98"/>
      <c r="V23" s="295"/>
    </row>
    <row r="24" spans="1:22" ht="24" customHeight="1" x14ac:dyDescent="0.5">
      <c r="A24" s="128">
        <f>+'ข้อมูล ต.3-505,708,709ไป สนน.'!A22</f>
        <v>502</v>
      </c>
      <c r="B24" s="76" t="str">
        <f>+'ข้อมูล ต.3-505,708,709ไป สนน.'!B22</f>
        <v>องค์กรและยุทธศาสตร์</v>
      </c>
      <c r="C24" s="325">
        <f>+'ข้อมูล ต.3-505,708,709ไป สนน.'!C22</f>
        <v>2556720.3161613373</v>
      </c>
      <c r="D24" s="250">
        <f>+C24*$D$21/$C$21</f>
        <v>479630.01695036283</v>
      </c>
      <c r="E24" s="305">
        <f>+C24+D24</f>
        <v>3036350.3331117001</v>
      </c>
      <c r="F24" s="249">
        <f>+'ข้อมูล ต.3-505,708,709ไป สนน.'!D22</f>
        <v>190068.95937646151</v>
      </c>
      <c r="G24" s="250">
        <f>+F24*$G$21/$F$21</f>
        <v>108778.45723518127</v>
      </c>
      <c r="H24" s="306">
        <f>+F24+G24</f>
        <v>298847.41661164281</v>
      </c>
      <c r="I24" s="249">
        <f>+'ข้อมูล ต.3-505,708,709ไป สนน.'!E22</f>
        <v>67266.019959428566</v>
      </c>
      <c r="J24" s="307">
        <f>+I24*$J$21/$I$21</f>
        <v>19829.313612635688</v>
      </c>
      <c r="K24" s="306">
        <f>+I24+J24</f>
        <v>87095.33357206425</v>
      </c>
      <c r="L24" s="225"/>
      <c r="M24" s="225"/>
      <c r="N24" s="225"/>
      <c r="O24" s="225"/>
      <c r="P24" s="225"/>
      <c r="Q24" s="225"/>
      <c r="R24" s="225"/>
      <c r="S24" s="225"/>
      <c r="T24" s="98"/>
      <c r="V24" s="295"/>
    </row>
    <row r="25" spans="1:22" ht="24" customHeight="1" x14ac:dyDescent="0.5">
      <c r="A25" s="128">
        <f>+'ข้อมูล ต.3-505,708,709ไป สนน.'!A23</f>
        <v>503</v>
      </c>
      <c r="B25" s="76" t="str">
        <f>+'ข้อมูล ต.3-505,708,709ไป สนน.'!B23</f>
        <v>เศรษฐกิจเกษตรพหุภาคี</v>
      </c>
      <c r="C25" s="325">
        <f>+'ข้อมูล ต.3-505,708,709ไป สนน.'!C23</f>
        <v>2840330.0201063859</v>
      </c>
      <c r="D25" s="250">
        <f>+C25*$D$21/$C$21</f>
        <v>532834.00889684341</v>
      </c>
      <c r="E25" s="305">
        <f>+C25+D25</f>
        <v>3373164.0290032295</v>
      </c>
      <c r="F25" s="249">
        <f>+'ข้อมูล ต.3-505,708,709ไป สนน.'!D23</f>
        <v>211152.76778411533</v>
      </c>
      <c r="G25" s="250">
        <f>+F25*$G$21/$F$21</f>
        <v>120844.94172981229</v>
      </c>
      <c r="H25" s="306">
        <f>+F25+G25</f>
        <v>331997.70951392764</v>
      </c>
      <c r="I25" s="249">
        <f>+'ข้อมูล ต.3-505,708,709ไป สนน.'!E23</f>
        <v>74727.648001285692</v>
      </c>
      <c r="J25" s="307">
        <f>+I25*$J$21/$I$21</f>
        <v>22028.922904103547</v>
      </c>
      <c r="K25" s="306">
        <f>+I25+J25</f>
        <v>96756.570905389235</v>
      </c>
      <c r="L25" s="225"/>
      <c r="M25" s="225"/>
      <c r="N25" s="225"/>
      <c r="O25" s="225"/>
      <c r="P25" s="225"/>
      <c r="Q25" s="225"/>
      <c r="R25" s="225"/>
      <c r="S25" s="225"/>
      <c r="T25" s="98"/>
      <c r="V25" s="295"/>
    </row>
    <row r="26" spans="1:22" ht="24" customHeight="1" x14ac:dyDescent="0.5">
      <c r="A26" s="128">
        <f>+'ข้อมูล ต.3-505,708,709ไป สนน.'!A24</f>
        <v>504</v>
      </c>
      <c r="B26" s="76" t="str">
        <f>+'ข้อมูล ต.3-505,708,709ไป สนน.'!B24</f>
        <v>องค์การการค้าโลก</v>
      </c>
      <c r="C26" s="325">
        <f>+'ข้อมูล ต.3-505,708,709ไป สนน.'!C24</f>
        <v>3314423.8535667663</v>
      </c>
      <c r="D26" s="250">
        <f>+C26*$D$21/$C$21</f>
        <v>621772.0252849902</v>
      </c>
      <c r="E26" s="305">
        <f>+C26+D26</f>
        <v>3936195.8788517565</v>
      </c>
      <c r="F26" s="249">
        <f>+'ข้อมูล ต.3-505,708,709ไป สนน.'!D24</f>
        <v>246397.34303273071</v>
      </c>
      <c r="G26" s="250">
        <f>+F26*$G$21/$F$21</f>
        <v>141015.78148203134</v>
      </c>
      <c r="H26" s="306">
        <f>+F26+G26</f>
        <v>387413.12451476208</v>
      </c>
      <c r="I26" s="249">
        <f>+'ข้อมูล ต.3-505,708,709ไป สนน.'!E24</f>
        <v>87200.817265285703</v>
      </c>
      <c r="J26" s="307">
        <f>+I26*$J$21/$I$21</f>
        <v>25705.881719691624</v>
      </c>
      <c r="K26" s="306">
        <f>+I26+J26</f>
        <v>112906.69898497732</v>
      </c>
      <c r="L26" s="225"/>
      <c r="M26" s="225"/>
      <c r="N26" s="225"/>
      <c r="O26" s="225"/>
      <c r="P26" s="225"/>
      <c r="Q26" s="225"/>
      <c r="R26" s="225"/>
      <c r="S26" s="225"/>
      <c r="T26" s="98"/>
      <c r="V26" s="295"/>
    </row>
    <row r="27" spans="1:22" ht="24" customHeight="1" thickBot="1" x14ac:dyDescent="0.55000000000000004">
      <c r="A27" s="308"/>
      <c r="B27" s="309"/>
      <c r="C27" s="310"/>
      <c r="D27" s="326"/>
      <c r="E27" s="312"/>
      <c r="F27" s="310"/>
      <c r="G27" s="311"/>
      <c r="H27" s="312"/>
      <c r="I27" s="310"/>
      <c r="J27" s="313"/>
      <c r="K27" s="312"/>
      <c r="L27" s="144"/>
      <c r="M27" s="144"/>
      <c r="N27" s="144"/>
      <c r="O27" s="144"/>
      <c r="P27" s="144"/>
      <c r="Q27" s="144"/>
      <c r="R27" s="144"/>
      <c r="S27" s="144"/>
      <c r="T27" s="98"/>
      <c r="V27" s="295"/>
    </row>
    <row r="28" spans="1:22" ht="21" customHeight="1" x14ac:dyDescent="0.5">
      <c r="A28" s="288" t="s">
        <v>91</v>
      </c>
      <c r="B28" s="289"/>
      <c r="C28" s="290">
        <f>SUM(C29:C42)</f>
        <v>67287759.800000027</v>
      </c>
      <c r="D28" s="291">
        <f>+C28*$D$73/$C$70</f>
        <v>12622901.757936912</v>
      </c>
      <c r="E28" s="292">
        <f>SUM(E29:E42)</f>
        <v>79910661.557936952</v>
      </c>
      <c r="F28" s="290">
        <f>SUM(F29:F42)</f>
        <v>3685613.8947008546</v>
      </c>
      <c r="G28" s="291">
        <f>+F28*$G$73/$F$70</f>
        <v>2109315.4544821316</v>
      </c>
      <c r="H28" s="292">
        <f>SUM(H29:H42)</f>
        <v>5794929.3491829857</v>
      </c>
      <c r="I28" s="290">
        <f>SUM(I29:I42)</f>
        <v>1640159.5799999996</v>
      </c>
      <c r="J28" s="293">
        <f>+I28*$J$73/$I$70</f>
        <v>483501.75476719427</v>
      </c>
      <c r="K28" s="292">
        <f>SUM(K29:K42)</f>
        <v>2123661.3347671945</v>
      </c>
      <c r="L28" s="761">
        <f>+E28+H28+K28</f>
        <v>87829252.241887122</v>
      </c>
      <c r="M28" s="294"/>
      <c r="N28" s="294"/>
      <c r="O28" s="294"/>
      <c r="P28" s="294"/>
      <c r="Q28" s="294"/>
      <c r="R28" s="294"/>
      <c r="S28" s="294"/>
      <c r="T28" s="98">
        <f>+C28+F28+I28</f>
        <v>72613533.27470088</v>
      </c>
      <c r="U28" s="295">
        <f>+'ข้อมูล ต.3-505,708,709ไป สนน.'!F26</f>
        <v>72613533.27470088</v>
      </c>
      <c r="V28" s="295"/>
    </row>
    <row r="29" spans="1:22" s="730" customFormat="1" ht="21" customHeight="1" x14ac:dyDescent="0.5">
      <c r="A29" s="723">
        <f>+'ข้อมูล ต.3-505,708,709ไป สนน.'!A27</f>
        <v>901</v>
      </c>
      <c r="B29" s="739" t="str">
        <f>+'ข้อมูล ต.3-505,708,709ไป สนน.'!B27</f>
        <v>งานวิเคราะห์เศรษฐกิจพืชไร่นา****</v>
      </c>
      <c r="C29" s="724">
        <f>+'ข้อมูล ต.3-505,708,709ไป สนน.'!C27</f>
        <v>10093163.970000003</v>
      </c>
      <c r="D29" s="725">
        <f>+C29*$D$28/$C$28</f>
        <v>1893435.2636905364</v>
      </c>
      <c r="E29" s="768">
        <f t="shared" ref="E29:E42" si="7">+C29+D29</f>
        <v>11986599.233690539</v>
      </c>
      <c r="F29" s="726">
        <f>+'ข้อมูล ต.3-505,708,709ไป สนน.'!D27</f>
        <v>552842.08420512814</v>
      </c>
      <c r="G29" s="725">
        <f>+F29*$G$28/$F$28</f>
        <v>316397.31817231973</v>
      </c>
      <c r="H29" s="769">
        <f t="shared" ref="H29:H42" si="8">+F29+G29</f>
        <v>869239.40237744781</v>
      </c>
      <c r="I29" s="726">
        <f>+'ข้อมูล ต.3-505,708,709ไป สนน.'!E27</f>
        <v>246023.93700000001</v>
      </c>
      <c r="J29" s="727">
        <f>+I29*$J$28/$I$28</f>
        <v>72525.263215079161</v>
      </c>
      <c r="K29" s="769">
        <f>+I29+J29</f>
        <v>318549.20021507918</v>
      </c>
      <c r="L29" s="728"/>
      <c r="M29" s="728"/>
      <c r="N29" s="728"/>
      <c r="O29" s="728"/>
      <c r="P29" s="728"/>
      <c r="Q29" s="728"/>
      <c r="R29" s="728"/>
      <c r="S29" s="728"/>
      <c r="T29" s="729" t="s">
        <v>287</v>
      </c>
      <c r="V29" s="731"/>
    </row>
    <row r="30" spans="1:22" ht="21" customHeight="1" x14ac:dyDescent="0.5">
      <c r="A30" s="303">
        <f>+'ข้อมูล ต.3-505,708,709ไป สนน.'!A28</f>
        <v>902</v>
      </c>
      <c r="B30" s="304" t="str">
        <f>+'ข้อมูล ต.3-505,708,709ไป สนน.'!B28</f>
        <v>งานวิจัยเศรษฐกิจพืชไร่นา</v>
      </c>
      <c r="C30" s="325">
        <f>+'ข้อมูล ต.3-505,708,709ไป สนน.'!C28</f>
        <v>4144926.003680001</v>
      </c>
      <c r="D30" s="250">
        <f t="shared" ref="D30:D40" si="9">+C30*$D$28/$C$28</f>
        <v>777570.74828891363</v>
      </c>
      <c r="E30" s="305">
        <f t="shared" si="7"/>
        <v>4922496.7519689146</v>
      </c>
      <c r="F30" s="249">
        <f>+'ข้อมูล ต.3-505,708,709ไป สนน.'!D28</f>
        <v>227033.81591357265</v>
      </c>
      <c r="G30" s="250">
        <f t="shared" ref="G30:G41" si="10">+F30*$G$28/$F$28</f>
        <v>129933.83199609931</v>
      </c>
      <c r="H30" s="306">
        <f t="shared" si="8"/>
        <v>356967.64790967194</v>
      </c>
      <c r="I30" s="249">
        <f>+'ข้อมูล ต.3-505,708,709ไป สนน.'!E28</f>
        <v>101033.83012799999</v>
      </c>
      <c r="J30" s="307">
        <f t="shared" ref="J30:J42" si="11">+I30*$J$28/$I$28</f>
        <v>29783.708093659174</v>
      </c>
      <c r="K30" s="306">
        <f t="shared" ref="K30:K40" si="12">+I30+J30</f>
        <v>130817.53822165917</v>
      </c>
      <c r="L30" s="225"/>
      <c r="M30" s="225"/>
      <c r="N30" s="225"/>
      <c r="O30" s="225"/>
      <c r="P30" s="225"/>
      <c r="Q30" s="225"/>
      <c r="R30" s="225"/>
      <c r="S30" s="225"/>
      <c r="T30" s="126" t="s">
        <v>286</v>
      </c>
      <c r="V30" s="295"/>
    </row>
    <row r="31" spans="1:22" s="730" customFormat="1" ht="21" customHeight="1" x14ac:dyDescent="0.5">
      <c r="A31" s="711">
        <f>+'ข้อมูล ต.3-505,708,709ไป สนน.'!A29</f>
        <v>903</v>
      </c>
      <c r="B31" s="712" t="str">
        <f>+'ข้อมูล ต.3-505,708,709ไป สนน.'!B29</f>
        <v>งานวิเคราะห์เศรษฐกิจพืชสวน***</v>
      </c>
      <c r="C31" s="733">
        <f>+'ข้อมูล ต.3-505,708,709ไป สนน.'!C29</f>
        <v>5766561.0148600014</v>
      </c>
      <c r="D31" s="732">
        <f t="shared" si="9"/>
        <v>1081782.680655193</v>
      </c>
      <c r="E31" s="763">
        <f t="shared" si="7"/>
        <v>6848343.6955151949</v>
      </c>
      <c r="F31" s="734">
        <f>+'ข้อมูล ต.3-505,708,709ไป สนน.'!D29</f>
        <v>315857.11077586323</v>
      </c>
      <c r="G31" s="732">
        <f t="shared" si="10"/>
        <v>180768.33444911867</v>
      </c>
      <c r="H31" s="764">
        <f t="shared" si="8"/>
        <v>496625.44522498187</v>
      </c>
      <c r="I31" s="734">
        <f>+'ข้อมูล ต.3-505,708,709ไป สนน.'!E29</f>
        <v>140561.67600599999</v>
      </c>
      <c r="J31" s="735">
        <f t="shared" si="11"/>
        <v>41436.100383548554</v>
      </c>
      <c r="K31" s="764">
        <f t="shared" si="12"/>
        <v>181997.77638954856</v>
      </c>
      <c r="L31" s="728"/>
      <c r="M31" s="728"/>
      <c r="N31" s="728"/>
      <c r="O31" s="728"/>
      <c r="P31" s="728"/>
      <c r="Q31" s="728"/>
      <c r="R31" s="728"/>
      <c r="S31" s="728"/>
      <c r="T31" s="736"/>
      <c r="V31" s="731"/>
    </row>
    <row r="32" spans="1:22" ht="21" customHeight="1" x14ac:dyDescent="0.5">
      <c r="A32" s="303">
        <f>+'ข้อมูล ต.3-505,708,709ไป สนน.'!A30</f>
        <v>904</v>
      </c>
      <c r="B32" s="304" t="str">
        <f>+'ข้อมูล ต.3-505,708,709ไป สนน.'!B30</f>
        <v>งานวิจัยเศรษฐกิจพืชสวน</v>
      </c>
      <c r="C32" s="325">
        <f>+'ข้อมูล ต.3-505,708,709ไป สนน.'!C30</f>
        <v>6210660.2295400016</v>
      </c>
      <c r="D32" s="250">
        <f t="shared" si="9"/>
        <v>1165093.8322575768</v>
      </c>
      <c r="E32" s="305">
        <f t="shared" si="7"/>
        <v>7375754.0617975779</v>
      </c>
      <c r="F32" s="249">
        <f>+'ข้อมูล ต.3-505,708,709ไป สนน.'!D30</f>
        <v>340182.16248088889</v>
      </c>
      <c r="G32" s="250">
        <f t="shared" si="10"/>
        <v>194689.81644870076</v>
      </c>
      <c r="H32" s="306">
        <f t="shared" si="8"/>
        <v>534871.97892958962</v>
      </c>
      <c r="I32" s="249">
        <f>+'ข้อมูล ต.3-505,708,709ไป สนน.'!E30</f>
        <v>151386.729234</v>
      </c>
      <c r="J32" s="307">
        <f t="shared" si="11"/>
        <v>44627.211965012037</v>
      </c>
      <c r="K32" s="306">
        <f t="shared" si="12"/>
        <v>196013.94119901204</v>
      </c>
      <c r="L32" s="225"/>
      <c r="M32" s="225"/>
      <c r="N32" s="225"/>
      <c r="O32" s="225"/>
      <c r="P32" s="225"/>
      <c r="Q32" s="225"/>
      <c r="R32" s="225"/>
      <c r="S32" s="225"/>
      <c r="T32" s="98"/>
      <c r="V32" s="295"/>
    </row>
    <row r="33" spans="1:22" s="730" customFormat="1" ht="21" customHeight="1" x14ac:dyDescent="0.5">
      <c r="A33" s="711">
        <f>+'ข้อมูล ต.3-505,708,709ไป สนน.'!A31</f>
        <v>905</v>
      </c>
      <c r="B33" s="712" t="str">
        <f>+'ข้อมูล ต.3-505,708,709ไป สนน.'!B31</f>
        <v>งานวิเคราะห์เศรษฐกิจปศุสัตว์และประมง***</v>
      </c>
      <c r="C33" s="733">
        <f>+'ข้อมูล ต.3-505,708,709ไป สนน.'!C31</f>
        <v>10093163.970000003</v>
      </c>
      <c r="D33" s="732">
        <f t="shared" si="9"/>
        <v>1893435.2636905364</v>
      </c>
      <c r="E33" s="763">
        <f t="shared" si="7"/>
        <v>11986599.233690539</v>
      </c>
      <c r="F33" s="734">
        <f>+'ข้อมูล ต.3-505,708,709ไป สนน.'!D31</f>
        <v>552842.08420512814</v>
      </c>
      <c r="G33" s="732">
        <f t="shared" si="10"/>
        <v>316397.31817231973</v>
      </c>
      <c r="H33" s="764">
        <f t="shared" si="8"/>
        <v>869239.40237744781</v>
      </c>
      <c r="I33" s="734">
        <f>+'ข้อมูล ต.3-505,708,709ไป สนน.'!E31</f>
        <v>246023.93700000001</v>
      </c>
      <c r="J33" s="735">
        <f t="shared" si="11"/>
        <v>72525.263215079161</v>
      </c>
      <c r="K33" s="764">
        <f t="shared" si="12"/>
        <v>318549.20021507918</v>
      </c>
      <c r="L33" s="728"/>
      <c r="M33" s="728"/>
      <c r="N33" s="728"/>
      <c r="O33" s="728"/>
      <c r="P33" s="728"/>
      <c r="Q33" s="728"/>
      <c r="R33" s="728"/>
      <c r="S33" s="728"/>
      <c r="T33" s="736"/>
      <c r="V33" s="731"/>
    </row>
    <row r="34" spans="1:22" ht="21" customHeight="1" x14ac:dyDescent="0.5">
      <c r="A34" s="303">
        <f>+'ข้อมูล ต.3-505,708,709ไป สนน.'!A32</f>
        <v>906</v>
      </c>
      <c r="B34" s="304" t="str">
        <f>+'ข้อมูล ต.3-505,708,709ไป สนน.'!B32</f>
        <v>งานวิจัยเศรษฐกิจปศุสัตว์และประมง</v>
      </c>
      <c r="C34" s="325">
        <f>+'ข้อมูล ต.3-505,708,709ไป สนน.'!C32</f>
        <v>4138197.2277000011</v>
      </c>
      <c r="D34" s="250">
        <f t="shared" si="9"/>
        <v>776308.45811311994</v>
      </c>
      <c r="E34" s="305">
        <f t="shared" si="7"/>
        <v>4914505.6858131215</v>
      </c>
      <c r="F34" s="249">
        <f>+'ข้อมูล ต.3-505,708,709ไป สนน.'!D32</f>
        <v>226665.25452410258</v>
      </c>
      <c r="G34" s="250">
        <f t="shared" si="10"/>
        <v>129722.90045065111</v>
      </c>
      <c r="H34" s="306">
        <f t="shared" si="8"/>
        <v>356388.15497475368</v>
      </c>
      <c r="I34" s="249">
        <f>+'ข้อมูล ต.3-505,708,709ไป สนน.'!E32</f>
        <v>100869.81417</v>
      </c>
      <c r="J34" s="307">
        <f t="shared" si="11"/>
        <v>29735.357918182453</v>
      </c>
      <c r="K34" s="306">
        <f t="shared" si="12"/>
        <v>130605.17208818244</v>
      </c>
      <c r="L34" s="225"/>
      <c r="M34" s="225"/>
      <c r="N34" s="225"/>
      <c r="O34" s="225"/>
      <c r="P34" s="225"/>
      <c r="Q34" s="225"/>
      <c r="R34" s="225"/>
      <c r="S34" s="225"/>
      <c r="T34" s="98"/>
      <c r="V34" s="295"/>
    </row>
    <row r="35" spans="1:22" s="730" customFormat="1" ht="21" customHeight="1" x14ac:dyDescent="0.5">
      <c r="A35" s="711">
        <f>+'ข้อมูล ต.3-505,708,709ไป สนน.'!A33</f>
        <v>907</v>
      </c>
      <c r="B35" s="712" t="str">
        <f>+'ข้อมูล ต.3-505,708,709ไป สนน.'!B33</f>
        <v>งานวิเคราะห์ปัจจัยการผลิต***</v>
      </c>
      <c r="C35" s="733">
        <f>+'ข้อมูล ต.3-505,708,709ไป สนน.'!C33</f>
        <v>2886644.8954200004</v>
      </c>
      <c r="D35" s="732">
        <f t="shared" si="9"/>
        <v>541522.48541549337</v>
      </c>
      <c r="E35" s="763">
        <f t="shared" si="7"/>
        <v>3428167.380835494</v>
      </c>
      <c r="F35" s="734">
        <f>+'ข้อมูล ต.3-505,708,709ไป สนน.'!D33</f>
        <v>158112.83608266668</v>
      </c>
      <c r="G35" s="732">
        <f t="shared" si="10"/>
        <v>90489.63299728345</v>
      </c>
      <c r="H35" s="764">
        <f t="shared" si="8"/>
        <v>248602.46907995013</v>
      </c>
      <c r="I35" s="734">
        <f>+'ข้อมูล ต.3-505,708,709ไป สนน.'!E33</f>
        <v>70362.845981999984</v>
      </c>
      <c r="J35" s="735">
        <f t="shared" si="11"/>
        <v>20742.225279512637</v>
      </c>
      <c r="K35" s="764">
        <f t="shared" si="12"/>
        <v>91105.071261512625</v>
      </c>
      <c r="L35" s="728"/>
      <c r="M35" s="728"/>
      <c r="N35" s="728"/>
      <c r="O35" s="728"/>
      <c r="P35" s="728"/>
      <c r="Q35" s="728"/>
      <c r="R35" s="728"/>
      <c r="S35" s="728"/>
      <c r="T35" s="736"/>
      <c r="V35" s="731"/>
    </row>
    <row r="36" spans="1:22" ht="21" customHeight="1" x14ac:dyDescent="0.5">
      <c r="A36" s="303">
        <f>+'ข้อมูล ต.3-505,708,709ไป สนน.'!A34</f>
        <v>908</v>
      </c>
      <c r="B36" s="304" t="str">
        <f>+'ข้อมูล ต.3-505,708,709ไป สนน.'!B34</f>
        <v>งานวิจัยเศรษฐกิจเทคโนโลยีและปัจจัยทางการเกษตร</v>
      </c>
      <c r="C36" s="325">
        <f>+'ข้อมูล ต.3-505,708,709ไป สนน.'!C34</f>
        <v>4138197.2277000011</v>
      </c>
      <c r="D36" s="250">
        <f t="shared" si="9"/>
        <v>776308.45811311994</v>
      </c>
      <c r="E36" s="305">
        <f t="shared" si="7"/>
        <v>4914505.6858131215</v>
      </c>
      <c r="F36" s="249">
        <f>+'ข้อมูล ต.3-505,708,709ไป สนน.'!D34</f>
        <v>226665.25452410258</v>
      </c>
      <c r="G36" s="250">
        <f t="shared" si="10"/>
        <v>129722.90045065111</v>
      </c>
      <c r="H36" s="306">
        <f t="shared" si="8"/>
        <v>356388.15497475368</v>
      </c>
      <c r="I36" s="249">
        <f>+'ข้อมูล ต.3-505,708,709ไป สนน.'!E34</f>
        <v>100869.81417</v>
      </c>
      <c r="J36" s="307">
        <f t="shared" si="11"/>
        <v>29735.357918182453</v>
      </c>
      <c r="K36" s="306">
        <f t="shared" si="12"/>
        <v>130605.17208818244</v>
      </c>
      <c r="L36" s="225"/>
      <c r="M36" s="225"/>
      <c r="N36" s="225"/>
      <c r="O36" s="225"/>
      <c r="P36" s="225"/>
      <c r="Q36" s="225"/>
      <c r="R36" s="225"/>
      <c r="S36" s="225"/>
      <c r="T36" s="98"/>
      <c r="V36" s="295"/>
    </row>
    <row r="37" spans="1:22" s="730" customFormat="1" ht="21" customHeight="1" x14ac:dyDescent="0.5">
      <c r="A37" s="711">
        <f>+'ข้อมูล ต.3-505,708,709ไป สนน.'!A35</f>
        <v>909</v>
      </c>
      <c r="B37" s="712" t="str">
        <f>+'ข้อมูล ต.3-505,708,709ไป สนน.'!B35</f>
        <v>งานวิเคราะห์มาตรการความช่วยเหลือเกษตรกร***</v>
      </c>
      <c r="C37" s="733">
        <f>+'ข้อมูล ต.3-505,708,709ไป สนน.'!C35</f>
        <v>5766561.0148600014</v>
      </c>
      <c r="D37" s="732">
        <f t="shared" si="9"/>
        <v>1081782.680655193</v>
      </c>
      <c r="E37" s="763">
        <f t="shared" si="7"/>
        <v>6848343.6955151949</v>
      </c>
      <c r="F37" s="734">
        <f>+'ข้อมูล ต.3-505,708,709ไป สนน.'!D35</f>
        <v>315857.11077586323</v>
      </c>
      <c r="G37" s="732">
        <f t="shared" si="10"/>
        <v>180768.33444911867</v>
      </c>
      <c r="H37" s="764">
        <f t="shared" si="8"/>
        <v>496625.44522498187</v>
      </c>
      <c r="I37" s="734">
        <f>+'ข้อมูล ต.3-505,708,709ไป สนน.'!E35</f>
        <v>140561.67600599999</v>
      </c>
      <c r="J37" s="735">
        <f t="shared" si="11"/>
        <v>41436.100383548554</v>
      </c>
      <c r="K37" s="764">
        <f t="shared" si="12"/>
        <v>181997.77638954856</v>
      </c>
      <c r="L37" s="728"/>
      <c r="M37" s="728"/>
      <c r="N37" s="728"/>
      <c r="O37" s="728"/>
      <c r="P37" s="728"/>
      <c r="Q37" s="728"/>
      <c r="R37" s="728"/>
      <c r="S37" s="728"/>
      <c r="T37" s="736"/>
      <c r="V37" s="731"/>
    </row>
    <row r="38" spans="1:22" ht="21" customHeight="1" x14ac:dyDescent="0.5">
      <c r="A38" s="303">
        <f>+'ข้อมูล ต.3-505,708,709ไป สนน.'!A36</f>
        <v>910</v>
      </c>
      <c r="B38" s="304" t="str">
        <f>+'ข้อมูล ต.3-505,708,709ไป สนน.'!B36</f>
        <v>งานวิจัยภาวะเศรษฐกิจสังคมครัวเรือนเกษตร</v>
      </c>
      <c r="C38" s="325">
        <f>+'ข้อมูล ต.3-505,708,709ไป สนน.'!C36</f>
        <v>2072463.0018400005</v>
      </c>
      <c r="D38" s="250">
        <f t="shared" si="9"/>
        <v>388785.37414445681</v>
      </c>
      <c r="E38" s="305">
        <f t="shared" si="7"/>
        <v>2461248.3759844573</v>
      </c>
      <c r="F38" s="249">
        <f>+'ข้อมูล ต.3-505,708,709ไป สนน.'!D36</f>
        <v>113516.90795678632</v>
      </c>
      <c r="G38" s="250">
        <f t="shared" si="10"/>
        <v>64966.915998049655</v>
      </c>
      <c r="H38" s="306">
        <f t="shared" si="8"/>
        <v>178483.82395483597</v>
      </c>
      <c r="I38" s="249">
        <f>+'ข้อมูล ต.3-505,708,709ไป สนน.'!E36</f>
        <v>50516.915063999993</v>
      </c>
      <c r="J38" s="307">
        <f t="shared" si="11"/>
        <v>14891.854046829587</v>
      </c>
      <c r="K38" s="306">
        <f t="shared" si="12"/>
        <v>65408.769110829584</v>
      </c>
      <c r="L38" s="225"/>
      <c r="M38" s="225"/>
      <c r="N38" s="225"/>
      <c r="O38" s="225"/>
      <c r="P38" s="225"/>
      <c r="Q38" s="225"/>
      <c r="R38" s="225"/>
      <c r="S38" s="225"/>
      <c r="T38" s="98"/>
      <c r="V38" s="295"/>
    </row>
    <row r="39" spans="1:22" s="730" customFormat="1" ht="21" customHeight="1" x14ac:dyDescent="0.5">
      <c r="A39" s="711">
        <f>+'ข้อมูล ต.3-505,708,709ไป สนน.'!A37</f>
        <v>911</v>
      </c>
      <c r="B39" s="712" t="str">
        <f>+'ข้อมูล ต.3-505,708,709ไป สนน.'!B37</f>
        <v>งานวิเคราะห์เศรษฐกิจพืชอาหารและพลังงานทดแทน***</v>
      </c>
      <c r="C39" s="733">
        <f>+'ข้อมูล ต.3-505,708,709ไป สนน.'!C37</f>
        <v>4326602.9551400002</v>
      </c>
      <c r="D39" s="732">
        <f t="shared" si="9"/>
        <v>811652.58303534309</v>
      </c>
      <c r="E39" s="763">
        <f t="shared" si="7"/>
        <v>5138255.5381753435</v>
      </c>
      <c r="F39" s="734">
        <f>+'ข้อมูล ต.3-505,708,709ไป สนน.'!D37</f>
        <v>236984.97342926494</v>
      </c>
      <c r="G39" s="732">
        <f t="shared" si="10"/>
        <v>135628.98372320106</v>
      </c>
      <c r="H39" s="764">
        <f t="shared" si="8"/>
        <v>372613.957152466</v>
      </c>
      <c r="I39" s="734">
        <f>+'ข้อมูล ต.3-505,708,709ไป สนน.'!E37</f>
        <v>105462.26099399998</v>
      </c>
      <c r="J39" s="735">
        <f t="shared" si="11"/>
        <v>31089.162831530593</v>
      </c>
      <c r="K39" s="764">
        <f t="shared" si="12"/>
        <v>136551.42382553057</v>
      </c>
      <c r="L39" s="728"/>
      <c r="M39" s="728"/>
      <c r="N39" s="728"/>
      <c r="O39" s="728"/>
      <c r="P39" s="728"/>
      <c r="Q39" s="728"/>
      <c r="R39" s="728"/>
      <c r="S39" s="728"/>
      <c r="T39" s="736"/>
      <c r="V39" s="731"/>
    </row>
    <row r="40" spans="1:22" ht="21" customHeight="1" x14ac:dyDescent="0.5">
      <c r="A40" s="303">
        <f>+'ข้อมูล ต.3-505,708,709ไป สนน.'!A38</f>
        <v>912</v>
      </c>
      <c r="B40" s="304" t="str">
        <f>+'ข้อมูล ต.3-505,708,709ไป สนน.'!B38</f>
        <v>งานวิจัยเศรษฐกิจพืชอาหารและพลังงานทดแทน</v>
      </c>
      <c r="C40" s="325">
        <f>+'ข้อมูล ต.3-505,708,709ไป สนน.'!C38</f>
        <v>2072463.0018400005</v>
      </c>
      <c r="D40" s="250">
        <f t="shared" si="9"/>
        <v>388785.37414445681</v>
      </c>
      <c r="E40" s="305">
        <f t="shared" si="7"/>
        <v>2461248.3759844573</v>
      </c>
      <c r="F40" s="249">
        <f>+'ข้อมูล ต.3-505,708,709ไป สนน.'!D38</f>
        <v>113516.90795678632</v>
      </c>
      <c r="G40" s="250">
        <f t="shared" si="10"/>
        <v>64966.915998049655</v>
      </c>
      <c r="H40" s="306">
        <f t="shared" si="8"/>
        <v>178483.82395483597</v>
      </c>
      <c r="I40" s="249">
        <f>+'ข้อมูล ต.3-505,708,709ไป สนน.'!E38</f>
        <v>50516.915063999993</v>
      </c>
      <c r="J40" s="307">
        <f t="shared" si="11"/>
        <v>14891.854046829587</v>
      </c>
      <c r="K40" s="306">
        <f t="shared" si="12"/>
        <v>65408.769110829584</v>
      </c>
      <c r="L40" s="225"/>
      <c r="M40" s="225"/>
      <c r="N40" s="225"/>
      <c r="O40" s="225"/>
      <c r="P40" s="225"/>
      <c r="Q40" s="225"/>
      <c r="R40" s="225"/>
      <c r="S40" s="225"/>
      <c r="T40" s="98"/>
      <c r="V40" s="295"/>
    </row>
    <row r="41" spans="1:22" s="730" customFormat="1" ht="21" customHeight="1" x14ac:dyDescent="0.5">
      <c r="A41" s="711">
        <f>+'ข้อมูล ต.3-505,708,709ไป สนน.'!A39</f>
        <v>913</v>
      </c>
      <c r="B41" s="712" t="str">
        <f>+'ข้อมูล ต.3-505,708,709ไป สนน.'!B39</f>
        <v>งานวิเคราะห์วิจัยเศรษฐกิจทรัพยากรการเกษตร***</v>
      </c>
      <c r="C41" s="733">
        <f>+'ข้อมูล ต.3-505,708,709ไป สนน.'!C39</f>
        <v>4138197.2277000011</v>
      </c>
      <c r="D41" s="732">
        <f>+C41*$D$28/$C$28</f>
        <v>776308.45811311994</v>
      </c>
      <c r="E41" s="763">
        <f t="shared" si="7"/>
        <v>4914505.6858131215</v>
      </c>
      <c r="F41" s="734">
        <f>+'ข้อมูล ต.3-505,708,709ไป สนน.'!D39</f>
        <v>226665.25452410258</v>
      </c>
      <c r="G41" s="732">
        <f t="shared" si="10"/>
        <v>129722.90045065111</v>
      </c>
      <c r="H41" s="764">
        <f t="shared" si="8"/>
        <v>356388.15497475368</v>
      </c>
      <c r="I41" s="734">
        <f>+'ข้อมูล ต.3-505,708,709ไป สนน.'!E39</f>
        <v>100869.81417</v>
      </c>
      <c r="J41" s="735">
        <f t="shared" si="11"/>
        <v>29735.357918182453</v>
      </c>
      <c r="K41" s="764">
        <f>+I41+J41</f>
        <v>130605.17208818244</v>
      </c>
      <c r="L41" s="728"/>
      <c r="M41" s="728"/>
      <c r="N41" s="728"/>
      <c r="O41" s="728"/>
      <c r="P41" s="728"/>
      <c r="Q41" s="728"/>
      <c r="R41" s="728"/>
      <c r="S41" s="728"/>
      <c r="T41" s="736"/>
      <c r="V41" s="731"/>
    </row>
    <row r="42" spans="1:22" s="730" customFormat="1" ht="21" customHeight="1" thickBot="1" x14ac:dyDescent="0.55000000000000004">
      <c r="A42" s="711">
        <f>+'ข้อมูล ต.3-505,708,709ไป สนน.'!A40</f>
        <v>914</v>
      </c>
      <c r="B42" s="740" t="str">
        <f>+'ข้อมูล ต.3-505,708,709ไป สนน.'!B40</f>
        <v>งานวิเคราะห์ภาวะเศรษฐกิจสังคมครัวเรือน***</v>
      </c>
      <c r="C42" s="737">
        <f>+'ข้อมูล ต.3-505,708,709ไป สนน.'!C40</f>
        <v>1439958.0597200003</v>
      </c>
      <c r="D42" s="732">
        <f>+C42*$D$28/$C$28</f>
        <v>270130.09761984984</v>
      </c>
      <c r="E42" s="763">
        <f t="shared" si="7"/>
        <v>1710088.15733985</v>
      </c>
      <c r="F42" s="737">
        <f>+'ข้อมูล ต.3-505,708,709ไป สนน.'!D40</f>
        <v>78872.137346598291</v>
      </c>
      <c r="G42" s="732">
        <f>+F42*$G$28/$F$28</f>
        <v>45139.350725917619</v>
      </c>
      <c r="H42" s="764">
        <f t="shared" si="8"/>
        <v>124011.4880725159</v>
      </c>
      <c r="I42" s="737">
        <f>+'ข้อมูล ต.3-505,708,709ไป สนน.'!E40</f>
        <v>35099.415011999998</v>
      </c>
      <c r="J42" s="735">
        <f t="shared" si="11"/>
        <v>10346.93755201796</v>
      </c>
      <c r="K42" s="764">
        <f>+I42+J42</f>
        <v>45446.352564017958</v>
      </c>
      <c r="L42" s="738"/>
      <c r="M42" s="738"/>
      <c r="N42" s="738"/>
      <c r="O42" s="738"/>
      <c r="P42" s="738"/>
      <c r="Q42" s="738"/>
      <c r="R42" s="738"/>
      <c r="S42" s="738"/>
      <c r="T42" s="736"/>
      <c r="V42" s="731"/>
    </row>
    <row r="43" spans="1:22" ht="21" customHeight="1" x14ac:dyDescent="0.5">
      <c r="A43" s="288" t="s">
        <v>92</v>
      </c>
      <c r="B43" s="289"/>
      <c r="C43" s="290">
        <f>SUM(C44:C54)</f>
        <v>79076444.241841897</v>
      </c>
      <c r="D43" s="291">
        <f>+C43*$D$73/$C$70</f>
        <v>14834409.556784589</v>
      </c>
      <c r="E43" s="292">
        <f>SUM(E44:E54)</f>
        <v>93910853.798626482</v>
      </c>
      <c r="F43" s="290">
        <f>SUM(F44:F54)</f>
        <v>3238447.2520048423</v>
      </c>
      <c r="G43" s="291">
        <f>+F43*$G$73/$F$70</f>
        <v>1853397.2988870123</v>
      </c>
      <c r="H43" s="292">
        <f>SUM(H44:H54)</f>
        <v>5091844.5508918548</v>
      </c>
      <c r="I43" s="290">
        <f>SUM(I44:I54)</f>
        <v>17433240.096608885</v>
      </c>
      <c r="J43" s="293">
        <f>+I43*$J$73/$I$70</f>
        <v>5139135.4114385685</v>
      </c>
      <c r="K43" s="292">
        <f>SUM(K44:K54)</f>
        <v>22572375.508047454</v>
      </c>
      <c r="L43" s="761">
        <f>+E43+H43+K43</f>
        <v>121575073.85756579</v>
      </c>
      <c r="M43" s="294"/>
      <c r="N43" s="294"/>
      <c r="O43" s="294"/>
      <c r="P43" s="294"/>
      <c r="Q43" s="294"/>
      <c r="R43" s="294"/>
      <c r="S43" s="294"/>
      <c r="T43" s="98">
        <f>+C43+F43+I43</f>
        <v>99748131.590455621</v>
      </c>
      <c r="U43" s="295">
        <f>+'ข้อมูล ต.3-505,708,709ไป สนน.'!F41</f>
        <v>99748131.590455636</v>
      </c>
      <c r="V43" s="295"/>
    </row>
    <row r="44" spans="1:22" ht="21" customHeight="1" x14ac:dyDescent="0.5">
      <c r="A44" s="296">
        <f>+'ข้อมูล ต.3-505,708,709ไป สนน.'!A42</f>
        <v>700</v>
      </c>
      <c r="B44" s="297" t="str">
        <f>+'ข้อมูล ต.3-505,708,709ไป สนน.'!B42</f>
        <v>จัดทำข้อมูลการผลิต</v>
      </c>
      <c r="C44" s="324">
        <f>+'ข้อมูล ต.3-505,708,709ไป สนน.'!C42</f>
        <v>27631032.31385183</v>
      </c>
      <c r="D44" s="299">
        <f>+C44*$D$43/$C$43</f>
        <v>5183465.8696444184</v>
      </c>
      <c r="E44" s="300">
        <f t="shared" ref="E44:E53" si="13">+C44+D44</f>
        <v>32814498.183496248</v>
      </c>
      <c r="F44" s="298">
        <f>+'ข้อมูล ต.3-505,708,709ไป สนน.'!D42</f>
        <v>1131584.0200551508</v>
      </c>
      <c r="G44" s="299">
        <f>+F44*$G$43/$F$43</f>
        <v>647617.39285256306</v>
      </c>
      <c r="H44" s="301">
        <f>+F44+G44</f>
        <v>1779201.412907714</v>
      </c>
      <c r="I44" s="298">
        <f>+'ข้อมูล ต.3-505,708,709ไป สนน.'!E42</f>
        <v>6091553.876288929</v>
      </c>
      <c r="J44" s="302">
        <f>+I44*$J$43/$I$43</f>
        <v>1795725.8698233513</v>
      </c>
      <c r="K44" s="301">
        <f>+I44+J44</f>
        <v>7887279.7461122805</v>
      </c>
      <c r="L44" s="225"/>
      <c r="M44" s="225"/>
      <c r="N44" s="225"/>
      <c r="O44" s="225"/>
      <c r="P44" s="225"/>
      <c r="Q44" s="225"/>
      <c r="R44" s="225"/>
      <c r="S44" s="225"/>
      <c r="T44" s="98"/>
      <c r="V44" s="295"/>
    </row>
    <row r="45" spans="1:22" ht="21" customHeight="1" x14ac:dyDescent="0.5">
      <c r="A45" s="303">
        <f>+'ข้อมูล ต.3-505,708,709ไป สนน.'!A43</f>
        <v>701</v>
      </c>
      <c r="B45" s="304" t="str">
        <f>+'ข้อมูล ต.3-505,708,709ไป สนน.'!B43</f>
        <v>ควบคุมคุณภาพข้อมูล</v>
      </c>
      <c r="C45" s="325">
        <f>+'ข้อมูล ต.3-505,708,709ไป สนน.'!C43</f>
        <v>1505852.9303030625</v>
      </c>
      <c r="D45" s="250">
        <f t="shared" ref="D45:D53" si="14">+C45*$D$43/$C$43</f>
        <v>282491.69919782307</v>
      </c>
      <c r="E45" s="305">
        <f t="shared" si="13"/>
        <v>1788344.6295008855</v>
      </c>
      <c r="F45" s="249">
        <f>+'ข้อมูล ต.3-505,708,709ไป สนน.'!D43</f>
        <v>61669.759317314012</v>
      </c>
      <c r="G45" s="250">
        <f t="shared" ref="G45:G53" si="15">+F45*$G$43/$F$43</f>
        <v>35294.249511386224</v>
      </c>
      <c r="H45" s="306">
        <f t="shared" ref="H45:H51" si="16">+F45+G45</f>
        <v>96964.008828700229</v>
      </c>
      <c r="I45" s="249">
        <f>+'ข้อมูล ต.3-505,708,709ไป สนน.'!E43</f>
        <v>331981.23582628922</v>
      </c>
      <c r="J45" s="307">
        <f t="shared" ref="J45:J53" si="17">+I45*$J$43/$I$43</f>
        <v>97864.568807257543</v>
      </c>
      <c r="K45" s="306">
        <f t="shared" ref="K45:K53" si="18">+I45+J45</f>
        <v>429845.80463354674</v>
      </c>
      <c r="L45" s="225"/>
      <c r="M45" s="225"/>
      <c r="N45" s="225"/>
      <c r="O45" s="225"/>
      <c r="P45" s="225"/>
      <c r="Q45" s="225"/>
      <c r="R45" s="225"/>
      <c r="S45" s="225"/>
      <c r="T45" s="98"/>
      <c r="V45" s="295"/>
    </row>
    <row r="46" spans="1:22" ht="21" customHeight="1" x14ac:dyDescent="0.5">
      <c r="A46" s="303">
        <f>+'ข้อมูล ต.3-505,708,709ไป สนน.'!A44</f>
        <v>702</v>
      </c>
      <c r="B46" s="304" t="str">
        <f>+'ข้อมูล ต.3-505,708,709ไป สนน.'!B44</f>
        <v>นิเทศงาน สศข.</v>
      </c>
      <c r="C46" s="325">
        <f>+'ข้อมูล ต.3-505,708,709ไป สนน.'!C44</f>
        <v>520203.73955923977</v>
      </c>
      <c r="D46" s="250">
        <f t="shared" si="14"/>
        <v>97588.041541066152</v>
      </c>
      <c r="E46" s="305">
        <f t="shared" si="13"/>
        <v>617791.78110030596</v>
      </c>
      <c r="F46" s="249">
        <f>+'ข้อมูล ต.3-505,708,709ไป สนน.'!D44</f>
        <v>21304.098673253931</v>
      </c>
      <c r="G46" s="250">
        <f t="shared" si="15"/>
        <v>12192.558922115239</v>
      </c>
      <c r="H46" s="306">
        <f t="shared" si="16"/>
        <v>33496.657595369172</v>
      </c>
      <c r="I46" s="249">
        <f>+'ข้อมูล ต.3-505,708,709ไป สนน.'!E44</f>
        <v>114684.426921809</v>
      </c>
      <c r="J46" s="307">
        <f t="shared" si="17"/>
        <v>33807.760133416239</v>
      </c>
      <c r="K46" s="306">
        <f t="shared" si="18"/>
        <v>148492.18705522525</v>
      </c>
      <c r="L46" s="225"/>
      <c r="M46" s="225"/>
      <c r="N46" s="225"/>
      <c r="O46" s="225"/>
      <c r="P46" s="225"/>
      <c r="Q46" s="225"/>
      <c r="R46" s="225"/>
      <c r="S46" s="225"/>
      <c r="T46" s="98"/>
      <c r="V46" s="295"/>
    </row>
    <row r="47" spans="1:22" ht="21" customHeight="1" x14ac:dyDescent="0.5">
      <c r="A47" s="711">
        <f>+'ข้อมูล ต.3-505,708,709ไป สนน.'!A45</f>
        <v>703</v>
      </c>
      <c r="B47" s="712" t="str">
        <f>+'ข้อมูล ต.3-505,708,709ไป สนน.'!B45</f>
        <v>จัดทำต้นทุนการผลิต ราคา***</v>
      </c>
      <c r="C47" s="325">
        <f>+'ข้อมูล ต.3-505,708,709ไป สนน.'!C45</f>
        <v>10979036.81911869</v>
      </c>
      <c r="D47" s="250">
        <f t="shared" si="14"/>
        <v>2059621.2977877639</v>
      </c>
      <c r="E47" s="305">
        <f t="shared" si="13"/>
        <v>13038658.116906453</v>
      </c>
      <c r="F47" s="249">
        <f>+'ข้อมูล ต.3-505,708,709ไป สนน.'!D45</f>
        <v>449628.60884078033</v>
      </c>
      <c r="G47" s="250">
        <f t="shared" si="15"/>
        <v>257327.1646193795</v>
      </c>
      <c r="H47" s="306">
        <f t="shared" si="16"/>
        <v>706955.77346015978</v>
      </c>
      <c r="I47" s="249">
        <f>+'ข้อมูล ต.3-505,708,709ไป สนน.'!E45</f>
        <v>2420445.0102971266</v>
      </c>
      <c r="J47" s="307">
        <f t="shared" si="17"/>
        <v>713521.67439473222</v>
      </c>
      <c r="K47" s="306">
        <f t="shared" si="18"/>
        <v>3133966.6846918589</v>
      </c>
      <c r="L47" s="225"/>
      <c r="M47" s="225"/>
      <c r="N47" s="225"/>
      <c r="O47" s="225"/>
      <c r="P47" s="225"/>
      <c r="Q47" s="225"/>
      <c r="R47" s="225"/>
      <c r="S47" s="225"/>
      <c r="T47" s="98"/>
      <c r="V47" s="295"/>
    </row>
    <row r="48" spans="1:22" ht="21" customHeight="1" x14ac:dyDescent="0.5">
      <c r="A48" s="303">
        <f>+'ข้อมูล ต.3-505,708,709ไป สนน.'!A46</f>
        <v>704</v>
      </c>
      <c r="B48" s="304" t="str">
        <f>+'ข้อมูล ต.3-505,708,709ไป สนน.'!B46</f>
        <v>พยากรณ์ผลผลิตสินค้าเกษตร</v>
      </c>
      <c r="C48" s="325">
        <f>+'ข้อมูล ต.3-505,708,709ไป สนน.'!C46</f>
        <v>9746975.3306889124</v>
      </c>
      <c r="D48" s="250">
        <f t="shared" si="14"/>
        <v>1828491.7257168179</v>
      </c>
      <c r="E48" s="305">
        <f t="shared" si="13"/>
        <v>11575467.056405731</v>
      </c>
      <c r="F48" s="249">
        <f>+'ข้อมูล ต.3-505,708,709ไป สนน.'!D46</f>
        <v>399171.53303570522</v>
      </c>
      <c r="G48" s="250">
        <f t="shared" si="15"/>
        <v>228450.05138279079</v>
      </c>
      <c r="H48" s="306">
        <f t="shared" si="16"/>
        <v>627621.584418496</v>
      </c>
      <c r="I48" s="249">
        <f>+'ข้อมูล ต.3-505,708,709ไป สนน.'!E46</f>
        <v>2148823.9991665264</v>
      </c>
      <c r="J48" s="307">
        <f t="shared" si="17"/>
        <v>633450.66355243057</v>
      </c>
      <c r="K48" s="306">
        <f t="shared" si="18"/>
        <v>2782274.6627189568</v>
      </c>
      <c r="L48" s="225"/>
      <c r="M48" s="225"/>
      <c r="N48" s="225"/>
      <c r="O48" s="225"/>
      <c r="P48" s="225"/>
      <c r="Q48" s="225"/>
      <c r="R48" s="225"/>
      <c r="S48" s="225"/>
      <c r="T48" s="98"/>
      <c r="V48" s="295"/>
    </row>
    <row r="49" spans="1:22" ht="21" customHeight="1" x14ac:dyDescent="0.5">
      <c r="A49" s="303">
        <f>+'ข้อมูล ต.3-505,708,709ไป สนน.'!A47</f>
        <v>705</v>
      </c>
      <c r="B49" s="304" t="str">
        <f>+'ข้อมูล ต.3-505,708,709ไป สนน.'!B47</f>
        <v>จัดทำ ประยุกต์ใช้ GI</v>
      </c>
      <c r="C49" s="325">
        <f>+'ข้อมูล ต.3-505,708,709ไป สนน.'!C47</f>
        <v>9582700.4655649439</v>
      </c>
      <c r="D49" s="250">
        <f t="shared" si="14"/>
        <v>1797674.4494406921</v>
      </c>
      <c r="E49" s="305">
        <f t="shared" si="13"/>
        <v>11380374.915005635</v>
      </c>
      <c r="F49" s="249">
        <f>+'ข้อมูล ต.3-505,708,709ไป สนน.'!D47</f>
        <v>392443.92292836192</v>
      </c>
      <c r="G49" s="250">
        <f t="shared" si="15"/>
        <v>224599.76961791233</v>
      </c>
      <c r="H49" s="306">
        <f t="shared" si="16"/>
        <v>617043.69254627428</v>
      </c>
      <c r="I49" s="249">
        <f>+'ข้อมูล ต.3-505,708,709ไป สนน.'!E47</f>
        <v>2112607.8643491133</v>
      </c>
      <c r="J49" s="307">
        <f t="shared" si="17"/>
        <v>622774.52877345716</v>
      </c>
      <c r="K49" s="306">
        <f t="shared" si="18"/>
        <v>2735382.3931225706</v>
      </c>
      <c r="L49" s="225"/>
      <c r="M49" s="225"/>
      <c r="N49" s="225"/>
      <c r="O49" s="225"/>
      <c r="P49" s="225"/>
      <c r="Q49" s="225"/>
      <c r="R49" s="225"/>
      <c r="S49" s="225"/>
      <c r="T49" s="98"/>
      <c r="V49" s="295"/>
    </row>
    <row r="50" spans="1:22" s="730" customFormat="1" ht="21" customHeight="1" x14ac:dyDescent="0.5">
      <c r="A50" s="711">
        <f>+'ข้อมูล ต.3-505,708,709ไป สนน.'!A48</f>
        <v>706</v>
      </c>
      <c r="B50" s="712" t="str">
        <f>+'ข้อมูล ต.3-505,708,709ไป สนน.'!B48</f>
        <v>การพัฒนาฐานข้อมูลเกษตรกรกลาง***</v>
      </c>
      <c r="C50" s="733">
        <f>+'ข้อมูล ต.3-505,708,709ไป สนน.'!C48</f>
        <v>7009060.9119560728</v>
      </c>
      <c r="D50" s="732">
        <f t="shared" si="14"/>
        <v>1314870.454448049</v>
      </c>
      <c r="E50" s="763">
        <f t="shared" si="13"/>
        <v>8323931.3664041217</v>
      </c>
      <c r="F50" s="734">
        <f>+'ข้อมูล ต.3-505,708,709ไป สนน.'!D48</f>
        <v>287044.69791331614</v>
      </c>
      <c r="G50" s="732">
        <f t="shared" si="15"/>
        <v>164278.68863481586</v>
      </c>
      <c r="H50" s="764">
        <f t="shared" si="16"/>
        <v>451323.386548132</v>
      </c>
      <c r="I50" s="734">
        <f>+'ข้อมูล ต.3-505,708,709ไป สนน.'!E48</f>
        <v>1545221.7522096371</v>
      </c>
      <c r="J50" s="735">
        <f t="shared" si="17"/>
        <v>455515.08390287147</v>
      </c>
      <c r="K50" s="764">
        <f t="shared" si="18"/>
        <v>2000736.8361125086</v>
      </c>
      <c r="L50" s="728"/>
      <c r="M50" s="728"/>
      <c r="N50" s="728"/>
      <c r="O50" s="728"/>
      <c r="P50" s="728"/>
      <c r="Q50" s="728"/>
      <c r="R50" s="728"/>
      <c r="S50" s="728"/>
      <c r="T50" s="736"/>
      <c r="V50" s="731"/>
    </row>
    <row r="51" spans="1:22" ht="21" customHeight="1" x14ac:dyDescent="0.5">
      <c r="A51" s="303">
        <f>+'ข้อมูล ต.3-505,708,709ไป สนน.'!A49</f>
        <v>707</v>
      </c>
      <c r="B51" s="304" t="str">
        <f>+'ข้อมูล ต.3-505,708,709ไป สนน.'!B49</f>
        <v>เผยแพร่สารสนเทศเกษตร</v>
      </c>
      <c r="C51" s="325">
        <f>+'ข้อมูล ต.3-505,708,709ไป สนน.'!C49</f>
        <v>9506038.8618404251</v>
      </c>
      <c r="D51" s="250">
        <f t="shared" si="14"/>
        <v>1783293.0538451672</v>
      </c>
      <c r="E51" s="305">
        <f t="shared" si="13"/>
        <v>11289331.915685592</v>
      </c>
      <c r="F51" s="249">
        <f>+'ข้อมูล ต.3-505,708,709ไป สนน.'!D49</f>
        <v>389304.37154493504</v>
      </c>
      <c r="G51" s="250">
        <f t="shared" si="15"/>
        <v>222802.97146096904</v>
      </c>
      <c r="H51" s="306">
        <f t="shared" si="16"/>
        <v>612107.34300590411</v>
      </c>
      <c r="I51" s="249">
        <f>+'ข้อมูล ต.3-505,708,709ไป สนน.'!E49</f>
        <v>2095707.0014343206</v>
      </c>
      <c r="J51" s="307">
        <f t="shared" si="17"/>
        <v>617792.3325432695</v>
      </c>
      <c r="K51" s="306">
        <f t="shared" si="18"/>
        <v>2713499.3339775903</v>
      </c>
      <c r="L51" s="225"/>
      <c r="M51" s="225"/>
      <c r="N51" s="225"/>
      <c r="O51" s="225"/>
      <c r="P51" s="225"/>
      <c r="Q51" s="225"/>
      <c r="R51" s="225"/>
      <c r="S51" s="225"/>
      <c r="T51" s="98"/>
      <c r="V51" s="295"/>
    </row>
    <row r="52" spans="1:22" s="730" customFormat="1" ht="21" customHeight="1" x14ac:dyDescent="0.5">
      <c r="A52" s="711">
        <f>+'ข้อมูล ต.3-505,708,709ไป สนน.'!A50</f>
        <v>506</v>
      </c>
      <c r="B52" s="712" t="str">
        <f>+'ข้อมูล ต.3-505,708,709ไป สนน.'!B50</f>
        <v>พัฒนาศูนย์เรียนรู้ ***</v>
      </c>
      <c r="C52" s="733">
        <f>+'ข้อมูล ต.3-505,708,709ไป สนน.'!C50</f>
        <v>1199206.5154049841</v>
      </c>
      <c r="D52" s="732">
        <f t="shared" si="14"/>
        <v>224966.11681572089</v>
      </c>
      <c r="E52" s="763">
        <f t="shared" si="13"/>
        <v>1424172.632220705</v>
      </c>
      <c r="F52" s="734">
        <f>+'ข้อมูล ต.3-505,708,709ไป สนน.'!D50</f>
        <v>49111.553783606432</v>
      </c>
      <c r="G52" s="732">
        <f t="shared" si="15"/>
        <v>28107.056883613026</v>
      </c>
      <c r="H52" s="764">
        <f>+F52+G52</f>
        <v>77218.610667219458</v>
      </c>
      <c r="I52" s="734">
        <f>+'ข้อมูล ต.3-505,708,709ไป สนน.'!E50</f>
        <v>264377.78416711761</v>
      </c>
      <c r="J52" s="735">
        <f t="shared" si="17"/>
        <v>77935.783886506921</v>
      </c>
      <c r="K52" s="764">
        <f t="shared" si="18"/>
        <v>342313.56805362453</v>
      </c>
      <c r="L52" s="728"/>
      <c r="M52" s="728"/>
      <c r="N52" s="728"/>
      <c r="O52" s="728"/>
      <c r="P52" s="728"/>
      <c r="Q52" s="728"/>
      <c r="R52" s="728"/>
      <c r="S52" s="728"/>
      <c r="T52" s="736"/>
      <c r="V52" s="731"/>
    </row>
    <row r="53" spans="1:22" ht="21" customHeight="1" x14ac:dyDescent="0.5">
      <c r="A53" s="303">
        <f>+'ข้อมูล ต.3-505,708,709ไป สนน.'!A51</f>
        <v>710</v>
      </c>
      <c r="B53" s="304" t="str">
        <f>+'ข้อมูล ต.3-505,708,709ไป สนน.'!B51</f>
        <v>บริหารจัดการระบบเทคโนโลยี</v>
      </c>
      <c r="C53" s="325">
        <f>+'ข้อมูล ต.3-505,708,709ไป สนน.'!C51</f>
        <v>1396336.3535537487</v>
      </c>
      <c r="D53" s="250">
        <f t="shared" si="14"/>
        <v>261946.84834707223</v>
      </c>
      <c r="E53" s="305">
        <f t="shared" si="13"/>
        <v>1658283.2019008209</v>
      </c>
      <c r="F53" s="249">
        <f>+'ข้อมูล ต.3-505,708,709ไป สนน.'!D51</f>
        <v>57184.685912418441</v>
      </c>
      <c r="G53" s="250">
        <f t="shared" si="15"/>
        <v>32727.395001467215</v>
      </c>
      <c r="H53" s="306">
        <f>+F53+G53</f>
        <v>89912.080913885657</v>
      </c>
      <c r="I53" s="249">
        <f>+'ข้อมูล ต.3-505,708,709ไป สนน.'!E51</f>
        <v>307837.14594801364</v>
      </c>
      <c r="J53" s="307">
        <f t="shared" si="17"/>
        <v>90747.145621275165</v>
      </c>
      <c r="K53" s="306">
        <f t="shared" si="18"/>
        <v>398584.29156928882</v>
      </c>
      <c r="L53" s="225"/>
      <c r="M53" s="225"/>
      <c r="N53" s="225"/>
      <c r="O53" s="225"/>
      <c r="P53" s="225"/>
      <c r="Q53" s="225"/>
      <c r="R53" s="225"/>
      <c r="S53" s="225"/>
      <c r="T53" s="98"/>
      <c r="V53" s="295"/>
    </row>
    <row r="54" spans="1:22" ht="21" customHeight="1" thickBot="1" x14ac:dyDescent="0.55000000000000004">
      <c r="A54" s="327"/>
      <c r="B54" s="328"/>
      <c r="C54" s="329"/>
      <c r="D54" s="330"/>
      <c r="E54" s="331"/>
      <c r="F54" s="329"/>
      <c r="G54" s="326"/>
      <c r="H54" s="332"/>
      <c r="I54" s="329"/>
      <c r="J54" s="333"/>
      <c r="K54" s="332"/>
      <c r="L54" s="225"/>
      <c r="M54" s="225"/>
      <c r="N54" s="225"/>
      <c r="O54" s="225"/>
      <c r="P54" s="225"/>
      <c r="Q54" s="225"/>
      <c r="R54" s="225"/>
      <c r="S54" s="225"/>
      <c r="T54" s="98"/>
      <c r="V54" s="295"/>
    </row>
    <row r="55" spans="1:22" ht="21" customHeight="1" x14ac:dyDescent="0.5">
      <c r="A55" s="288" t="s">
        <v>93</v>
      </c>
      <c r="B55" s="289"/>
      <c r="C55" s="290">
        <f>SUM(C56:C63)</f>
        <v>47930482.770000011</v>
      </c>
      <c r="D55" s="291">
        <f>+C55*$D$73/$C$70</f>
        <v>8991557.7069961801</v>
      </c>
      <c r="E55" s="292">
        <f>SUM(E56:E63)</f>
        <v>56922040.476996183</v>
      </c>
      <c r="F55" s="290">
        <f>SUM(F56:F63)</f>
        <v>2565065.727094017</v>
      </c>
      <c r="G55" s="291">
        <f>+F55*$G$73/$F$70</f>
        <v>1468013.995633421</v>
      </c>
      <c r="H55" s="292">
        <f>SUM(H56:H63)</f>
        <v>4033079.7227274375</v>
      </c>
      <c r="I55" s="292">
        <f>SUM(I56:I63)</f>
        <v>1525842.2300000004</v>
      </c>
      <c r="J55" s="293">
        <f>+I55*$J$73/$I$70</f>
        <v>449802.205040859</v>
      </c>
      <c r="K55" s="292">
        <f>SUM(K56:K63)</f>
        <v>1975644.4350408593</v>
      </c>
      <c r="L55" s="761">
        <f>+E55+H55+K55</f>
        <v>62930764.634764485</v>
      </c>
      <c r="M55" s="294"/>
      <c r="N55" s="294"/>
      <c r="O55" s="294"/>
      <c r="P55" s="294"/>
      <c r="Q55" s="294"/>
      <c r="R55" s="294"/>
      <c r="S55" s="294"/>
      <c r="T55" s="98">
        <f>+C55+F55+I55</f>
        <v>52021390.727094024</v>
      </c>
      <c r="U55" s="295">
        <f>+'ข้อมูล ต.3-505,708,709ไป สนน.'!F52</f>
        <v>52021390.727094024</v>
      </c>
      <c r="V55" s="295"/>
    </row>
    <row r="56" spans="1:22" ht="21" customHeight="1" x14ac:dyDescent="0.5">
      <c r="A56" s="296">
        <f>+'ข้อมูล ต.3-505,708,709ไป สนน.'!A53</f>
        <v>600</v>
      </c>
      <c r="B56" s="297" t="str">
        <f>+'ข้อมูล ต.3-505,708,709ไป สนน.'!B53</f>
        <v>งานติดตามความก้าวหน้าแผนงาน/คก.</v>
      </c>
      <c r="C56" s="324">
        <f>+'ข้อมูล ต.3-505,708,709ไป สนน.'!C53</f>
        <v>19785703.287456006</v>
      </c>
      <c r="D56" s="299">
        <f>+C56*$D$55/$C$55</f>
        <v>3711715.0214480236</v>
      </c>
      <c r="E56" s="300">
        <f t="shared" ref="E56:E62" si="19">+C56+D56</f>
        <v>23497418.308904029</v>
      </c>
      <c r="F56" s="298">
        <f>+'ข้อมูล ต.3-505,708,709ไป สนน.'!D53</f>
        <v>1058859.1321444102</v>
      </c>
      <c r="G56" s="299">
        <f>+F56*$G$55/$F$55</f>
        <v>605996.17739747616</v>
      </c>
      <c r="H56" s="301">
        <f t="shared" ref="H56:H62" si="20">+F56+G56</f>
        <v>1664855.3095418862</v>
      </c>
      <c r="I56" s="298">
        <f>+'ข้อมูล ต.3-505,708,709ไป สนน.'!E53</f>
        <v>629867.6725440002</v>
      </c>
      <c r="J56" s="302">
        <f>+I56*$J$55/$I$55</f>
        <v>185678.3502408666</v>
      </c>
      <c r="K56" s="301">
        <f t="shared" ref="K56:K62" si="21">+I56+J56</f>
        <v>815546.02278486686</v>
      </c>
      <c r="L56" s="225"/>
      <c r="M56" s="225"/>
      <c r="N56" s="225"/>
      <c r="O56" s="225"/>
      <c r="P56" s="225"/>
      <c r="Q56" s="225"/>
      <c r="R56" s="225"/>
      <c r="S56" s="225"/>
      <c r="T56" s="98"/>
      <c r="V56" s="295"/>
    </row>
    <row r="57" spans="1:22" ht="21" customHeight="1" x14ac:dyDescent="0.5">
      <c r="A57" s="303">
        <f>+'ข้อมูล ต.3-505,708,709ไป สนน.'!A54</f>
        <v>601</v>
      </c>
      <c r="B57" s="304" t="str">
        <f>+'ข้อมูล ต.3-505,708,709ไป สนน.'!B54</f>
        <v>งานประเมินผลสัมฤทธิ์แผนงาน/คก.</v>
      </c>
      <c r="C57" s="325">
        <f>+'ข้อมูล ต.3-505,708,709ไป สนน.'!C54</f>
        <v>13756048.554990003</v>
      </c>
      <c r="D57" s="250">
        <f t="shared" ref="D57:D62" si="22">+C57*$D$55/$C$55</f>
        <v>2580577.0619079038</v>
      </c>
      <c r="E57" s="305">
        <f t="shared" si="19"/>
        <v>16336625.616897907</v>
      </c>
      <c r="F57" s="249">
        <f>+'ข้อมูล ต.3-505,708,709ไป สนน.'!D54</f>
        <v>736173.86367598281</v>
      </c>
      <c r="G57" s="250">
        <f t="shared" ref="G57:G62" si="23">+F57*$G$55/$F$55</f>
        <v>421320.01674679178</v>
      </c>
      <c r="H57" s="306">
        <f t="shared" si="20"/>
        <v>1157493.8804227747</v>
      </c>
      <c r="I57" s="249">
        <f>+'ข้อมูล ต.3-505,708,709ไป สนน.'!E54</f>
        <v>437916.72001000011</v>
      </c>
      <c r="J57" s="307">
        <f t="shared" ref="J57:J62" si="24">+I57*$J$55/$I$55</f>
        <v>129093.23284672653</v>
      </c>
      <c r="K57" s="306">
        <f t="shared" si="21"/>
        <v>567009.9528567266</v>
      </c>
      <c r="L57" s="225"/>
      <c r="M57" s="225"/>
      <c r="N57" s="225"/>
      <c r="O57" s="225"/>
      <c r="P57" s="225"/>
      <c r="Q57" s="225"/>
      <c r="R57" s="225"/>
      <c r="S57" s="225"/>
      <c r="T57" s="98"/>
      <c r="V57" s="295"/>
    </row>
    <row r="58" spans="1:22" ht="21" customHeight="1" x14ac:dyDescent="0.5">
      <c r="A58" s="303">
        <f>+'ข้อมูล ต.3-505,708,709ไป สนน.'!A55</f>
        <v>602</v>
      </c>
      <c r="B58" s="304" t="str">
        <f>+'ข้อมูล ต.3-505,708,709ไป สนน.'!B55</f>
        <v>งานศึกษา พัฒนาเทคนิคการติดตามและประเมินผล</v>
      </c>
      <c r="C58" s="325">
        <f>+'ข้อมูล ต.3-505,708,709ไป สนน.'!C55</f>
        <v>4304157.3527460005</v>
      </c>
      <c r="D58" s="250">
        <f t="shared" si="22"/>
        <v>807441.88208825688</v>
      </c>
      <c r="E58" s="305">
        <f t="shared" si="19"/>
        <v>5111599.2348342575</v>
      </c>
      <c r="F58" s="249">
        <f>+'ข้อมูล ต.3-505,708,709ไป สนน.'!D55</f>
        <v>230342.90229304272</v>
      </c>
      <c r="G58" s="250">
        <f t="shared" si="23"/>
        <v>131827.6568078812</v>
      </c>
      <c r="H58" s="306">
        <f t="shared" si="20"/>
        <v>362170.55910092394</v>
      </c>
      <c r="I58" s="249">
        <f>+'ข้อมูล ต.3-505,708,709ไป สนน.'!E55</f>
        <v>137020.63225400005</v>
      </c>
      <c r="J58" s="307">
        <f t="shared" si="24"/>
        <v>40392.238012669142</v>
      </c>
      <c r="K58" s="306">
        <f t="shared" si="21"/>
        <v>177412.8702666692</v>
      </c>
      <c r="L58" s="225"/>
      <c r="M58" s="225"/>
      <c r="N58" s="225"/>
      <c r="O58" s="225"/>
      <c r="P58" s="225"/>
      <c r="Q58" s="225"/>
      <c r="R58" s="225"/>
      <c r="S58" s="225"/>
      <c r="T58" s="98"/>
      <c r="V58" s="295"/>
    </row>
    <row r="59" spans="1:22" ht="21" customHeight="1" x14ac:dyDescent="0.5">
      <c r="A59" s="303">
        <f>+'ข้อมูล ต.3-505,708,709ไป สนน.'!A56</f>
        <v>603</v>
      </c>
      <c r="B59" s="304" t="str">
        <f>+'ข้อมูล ต.3-505,708,709ไป สนน.'!B56</f>
        <v>ติดตามประเมินผล ภายใต้นโยบายสำคัญของ กษ.</v>
      </c>
      <c r="C59" s="325">
        <f>+'ข้อมูล ต.3-505,708,709ไป สนน.'!C56</f>
        <v>4294571.2561920015</v>
      </c>
      <c r="D59" s="250">
        <f t="shared" si="22"/>
        <v>805643.5705468579</v>
      </c>
      <c r="E59" s="305">
        <f t="shared" si="19"/>
        <v>5100214.8267388595</v>
      </c>
      <c r="F59" s="249">
        <f>+'ข้อมูล ต.3-505,708,709ไป สนน.'!D56</f>
        <v>229829.88914762394</v>
      </c>
      <c r="G59" s="250">
        <f t="shared" si="23"/>
        <v>131534.05400875455</v>
      </c>
      <c r="H59" s="306">
        <f t="shared" si="20"/>
        <v>361363.94315637846</v>
      </c>
      <c r="I59" s="249">
        <f>+'ข้อมูล ต.3-505,708,709ไป สนน.'!E56</f>
        <v>136715.46380800006</v>
      </c>
      <c r="J59" s="307">
        <f t="shared" si="24"/>
        <v>40302.277571660969</v>
      </c>
      <c r="K59" s="306">
        <f t="shared" si="21"/>
        <v>177017.74137966102</v>
      </c>
      <c r="L59" s="225"/>
      <c r="M59" s="225"/>
      <c r="N59" s="225"/>
      <c r="O59" s="225"/>
      <c r="P59" s="225"/>
      <c r="Q59" s="225"/>
      <c r="R59" s="225"/>
      <c r="S59" s="225"/>
      <c r="T59" s="98"/>
      <c r="V59" s="295"/>
    </row>
    <row r="60" spans="1:22" s="730" customFormat="1" ht="21" customHeight="1" x14ac:dyDescent="0.5">
      <c r="A60" s="711">
        <f>+'ข้อมูล ต.3-505,708,709ไป สนน.'!A57</f>
        <v>604</v>
      </c>
      <c r="B60" s="712" t="str">
        <f>+'ข้อมูล ต.3-505,708,709ไป สนน.'!B57</f>
        <v>ศึกษา และติดตามระบบส่งเสริมการเกษตรแปลงใหญ่***</v>
      </c>
      <c r="C60" s="733">
        <f>+'ข้อมูล ต.3-505,708,709ไป สนน.'!C57</f>
        <v>3844024.7181540006</v>
      </c>
      <c r="D60" s="732">
        <f t="shared" si="22"/>
        <v>721122.92810109362</v>
      </c>
      <c r="E60" s="763">
        <f t="shared" si="19"/>
        <v>4565147.6462550946</v>
      </c>
      <c r="F60" s="734">
        <f>+'ข้อมูล ต.3-505,708,709ไป สนน.'!D57</f>
        <v>205718.27131294017</v>
      </c>
      <c r="G60" s="732">
        <f t="shared" si="23"/>
        <v>117734.72244980038</v>
      </c>
      <c r="H60" s="764">
        <f t="shared" si="20"/>
        <v>323452.99376274052</v>
      </c>
      <c r="I60" s="734">
        <f>+'ข้อมูล ต.3-505,708,709ไป สนน.'!E57</f>
        <v>122372.54684600003</v>
      </c>
      <c r="J60" s="735">
        <f t="shared" si="24"/>
        <v>36074.136844276894</v>
      </c>
      <c r="K60" s="764">
        <f t="shared" si="21"/>
        <v>158446.68369027693</v>
      </c>
      <c r="L60" s="728"/>
      <c r="M60" s="728"/>
      <c r="N60" s="728"/>
      <c r="O60" s="728"/>
      <c r="P60" s="728"/>
      <c r="Q60" s="728"/>
      <c r="R60" s="728"/>
      <c r="S60" s="728"/>
      <c r="T60" s="736"/>
      <c r="V60" s="731"/>
    </row>
    <row r="61" spans="1:22" s="730" customFormat="1" ht="21" customHeight="1" x14ac:dyDescent="0.5">
      <c r="A61" s="711">
        <f>+'ข้อมูล ต.3-505,708,709ไป สนน.'!A58</f>
        <v>605</v>
      </c>
      <c r="B61" s="712" t="str">
        <f>+'ข้อมูล ต.3-505,708,709ไป สนน.'!B58</f>
        <v>ติดตามประเมินผลการดำเนินงานโครงการธนาคารสินค้าเกษตร***</v>
      </c>
      <c r="C61" s="733">
        <f>+'ข้อมูล ต.3-505,708,709ไป สนน.'!C58</f>
        <v>972988.80023100018</v>
      </c>
      <c r="D61" s="732">
        <f t="shared" si="22"/>
        <v>182528.62145202246</v>
      </c>
      <c r="E61" s="763">
        <f t="shared" si="19"/>
        <v>1155517.4216830228</v>
      </c>
      <c r="F61" s="734">
        <f>+'ข้อมูล ต.3-505,708,709ไป สนน.'!D58</f>
        <v>52070.834260008538</v>
      </c>
      <c r="G61" s="732">
        <f t="shared" si="23"/>
        <v>29800.684111358441</v>
      </c>
      <c r="H61" s="764">
        <f t="shared" si="20"/>
        <v>81871.518371366983</v>
      </c>
      <c r="I61" s="734">
        <f>+'ข้อมูล ต.3-505,708,709ไป สนน.'!E58</f>
        <v>30974.597269000005</v>
      </c>
      <c r="J61" s="735">
        <f t="shared" si="24"/>
        <v>9130.9847623294372</v>
      </c>
      <c r="K61" s="764">
        <f t="shared" si="21"/>
        <v>40105.582031329439</v>
      </c>
      <c r="L61" s="728"/>
      <c r="M61" s="728"/>
      <c r="N61" s="728"/>
      <c r="O61" s="728"/>
      <c r="P61" s="728"/>
      <c r="Q61" s="728"/>
      <c r="R61" s="728"/>
      <c r="S61" s="728"/>
      <c r="T61" s="736"/>
      <c r="V61" s="731"/>
    </row>
    <row r="62" spans="1:22" s="730" customFormat="1" ht="21" customHeight="1" x14ac:dyDescent="0.5">
      <c r="A62" s="711">
        <f>+'ข้อมูล ต.3-505,708,709ไป สนน.'!A59</f>
        <v>606</v>
      </c>
      <c r="B62" s="712" t="str">
        <f>+'ข้อมูล ต.3-505,708,709ไป สนน.'!B59</f>
        <v>ติดตามประเมินผลโครงการส่งเสริมเกษตรทฤษฎีใหม่***</v>
      </c>
      <c r="C62" s="733">
        <f>+'ข้อมูล ต.3-505,708,709ไป สนน.'!C59</f>
        <v>972988.80023100018</v>
      </c>
      <c r="D62" s="732">
        <f t="shared" si="22"/>
        <v>182528.62145202246</v>
      </c>
      <c r="E62" s="763">
        <f t="shared" si="19"/>
        <v>1155517.4216830228</v>
      </c>
      <c r="F62" s="734">
        <f>+'ข้อมูล ต.3-505,708,709ไป สนน.'!D59</f>
        <v>52070.834260008538</v>
      </c>
      <c r="G62" s="732">
        <f t="shared" si="23"/>
        <v>29800.684111358441</v>
      </c>
      <c r="H62" s="764">
        <f t="shared" si="20"/>
        <v>81871.518371366983</v>
      </c>
      <c r="I62" s="734">
        <f>+'ข้อมูล ต.3-505,708,709ไป สนน.'!E59</f>
        <v>30974.597269000005</v>
      </c>
      <c r="J62" s="735">
        <f t="shared" si="24"/>
        <v>9130.9847623294372</v>
      </c>
      <c r="K62" s="764">
        <f t="shared" si="21"/>
        <v>40105.582031329439</v>
      </c>
      <c r="L62" s="728"/>
      <c r="M62" s="728"/>
      <c r="N62" s="728"/>
      <c r="O62" s="728"/>
      <c r="P62" s="728"/>
      <c r="Q62" s="728"/>
      <c r="R62" s="728"/>
      <c r="S62" s="728"/>
      <c r="T62" s="736"/>
      <c r="V62" s="731"/>
    </row>
    <row r="63" spans="1:22" ht="21" customHeight="1" thickBot="1" x14ac:dyDescent="0.55000000000000004">
      <c r="A63" s="308"/>
      <c r="B63" s="309"/>
      <c r="C63" s="310"/>
      <c r="D63" s="311"/>
      <c r="E63" s="312"/>
      <c r="F63" s="310"/>
      <c r="G63" s="311"/>
      <c r="H63" s="312"/>
      <c r="I63" s="310"/>
      <c r="J63" s="313"/>
      <c r="K63" s="332"/>
      <c r="L63" s="225"/>
      <c r="M63" s="225"/>
      <c r="N63" s="225"/>
      <c r="O63" s="225"/>
      <c r="P63" s="225"/>
      <c r="Q63" s="225"/>
      <c r="R63" s="225"/>
      <c r="S63" s="225"/>
      <c r="T63" s="98"/>
      <c r="V63" s="295"/>
    </row>
    <row r="64" spans="1:22" ht="26.25" customHeight="1" x14ac:dyDescent="0.5">
      <c r="A64" s="288" t="s">
        <v>196</v>
      </c>
      <c r="B64" s="289"/>
      <c r="C64" s="290">
        <f>SUM(C65:C68)</f>
        <v>226602965.49999997</v>
      </c>
      <c r="D64" s="291">
        <f>+C64*$D$73/$C$70</f>
        <v>42509766.710403487</v>
      </c>
      <c r="E64" s="292">
        <f>SUM(E65:E68)</f>
        <v>269112732.21040344</v>
      </c>
      <c r="F64" s="290">
        <f t="shared" ref="F64:K64" si="25">SUM(F65:F68)</f>
        <v>12257740.130299143</v>
      </c>
      <c r="G64" s="291">
        <f>+F64*$G$73/$F$70</f>
        <v>7015233.1287443163</v>
      </c>
      <c r="H64" s="292">
        <f t="shared" si="25"/>
        <v>19272973.259043463</v>
      </c>
      <c r="I64" s="290">
        <f t="shared" si="25"/>
        <v>11206166.890000001</v>
      </c>
      <c r="J64" s="293">
        <f>+I64*$J$73/$I$70</f>
        <v>3303459.8715870278</v>
      </c>
      <c r="K64" s="292">
        <f t="shared" si="25"/>
        <v>14509626.761587029</v>
      </c>
      <c r="L64" s="761">
        <f>+E64+H64+K64</f>
        <v>302895332.23103392</v>
      </c>
      <c r="M64" s="294"/>
      <c r="N64" s="294"/>
      <c r="O64" s="294"/>
      <c r="P64" s="294"/>
      <c r="Q64" s="294"/>
      <c r="R64" s="294"/>
      <c r="S64" s="294"/>
      <c r="T64" s="98">
        <f>+C64+F64+I64</f>
        <v>250066872.52029914</v>
      </c>
      <c r="U64" s="295">
        <f>+'ข้อมูล ต.3-505,708,709ไป สนน.'!F60</f>
        <v>250066872.52029914</v>
      </c>
      <c r="V64" s="295"/>
    </row>
    <row r="65" spans="1:22" ht="26.25" customHeight="1" x14ac:dyDescent="0.5">
      <c r="A65" s="296">
        <f>+'ข้อมูล ต.3-505,708,709ไป สนน.'!A61</f>
        <v>400</v>
      </c>
      <c r="B65" s="297" t="str">
        <f>+'ข้อมูล ต.3-505,708,709ไป สนน.'!B61</f>
        <v>จัดทำแนวทางการพัฒนาการเกษตรระดับจังหวัดและกลุ่มจังหวัด</v>
      </c>
      <c r="C65" s="324">
        <f>+'ข้อมูล ต.3-505,708,709ไป สนน.'!C61</f>
        <v>33990444.824999996</v>
      </c>
      <c r="D65" s="299">
        <f>+C65*$D$64/$C$64</f>
        <v>6376465.0065605231</v>
      </c>
      <c r="E65" s="300">
        <f>+C65+D65</f>
        <v>40366909.831560522</v>
      </c>
      <c r="F65" s="298">
        <f>+'ข้อมูล ต.3-505,708,709ไป สนน.'!D61</f>
        <v>1838661.0195448715</v>
      </c>
      <c r="G65" s="299">
        <f>+F65*$G$64/$F$64</f>
        <v>1052284.9693116476</v>
      </c>
      <c r="H65" s="301">
        <f>+F65+G65</f>
        <v>2890945.9888565191</v>
      </c>
      <c r="I65" s="298">
        <f>+'ข้อมูล ต.3-505,708,709ไป สนน.'!E61</f>
        <v>1680925.0335000001</v>
      </c>
      <c r="J65" s="302">
        <f>+I65*$J$64/$I$64</f>
        <v>495518.9807380542</v>
      </c>
      <c r="K65" s="301">
        <f>+I65+J65</f>
        <v>2176444.0142380544</v>
      </c>
      <c r="L65" s="225"/>
      <c r="M65" s="225"/>
      <c r="N65" s="225"/>
      <c r="O65" s="225"/>
      <c r="P65" s="225"/>
      <c r="Q65" s="225"/>
      <c r="R65" s="225"/>
      <c r="S65" s="225"/>
      <c r="T65" s="98"/>
      <c r="V65" s="295"/>
    </row>
    <row r="66" spans="1:22" ht="26.25" customHeight="1" x14ac:dyDescent="0.5">
      <c r="A66" s="303">
        <f>+'ข้อมูล ต.3-505,708,709ไป สนน.'!A62</f>
        <v>401</v>
      </c>
      <c r="B66" s="304" t="str">
        <f>+'ข้อมูล ต.3-505,708,709ไป สนน.'!B62</f>
        <v>ศึกษา วิเคราะห์ วิจัยเศรษฐกิจการเกษตรระดับพื้นที่</v>
      </c>
      <c r="C66" s="325">
        <f>+'ข้อมูล ต.3-505,708,709ไป สนน.'!C62</f>
        <v>22660296.549999997</v>
      </c>
      <c r="D66" s="250">
        <f>+C66*$D$64/$C$64</f>
        <v>4250976.6710403487</v>
      </c>
      <c r="E66" s="305">
        <f>+C66+D66</f>
        <v>26911273.221040346</v>
      </c>
      <c r="F66" s="249">
        <f>+'ข้อมูล ต.3-505,708,709ไป สนน.'!D62</f>
        <v>1225774.0130299143</v>
      </c>
      <c r="G66" s="250">
        <f>+F66*$G$64/$F$64</f>
        <v>701523.31287443161</v>
      </c>
      <c r="H66" s="306">
        <f>+F66+G66</f>
        <v>1927297.3259043461</v>
      </c>
      <c r="I66" s="249">
        <f>+'ข้อมูล ต.3-505,708,709ไป สนน.'!E62</f>
        <v>1120616.689</v>
      </c>
      <c r="J66" s="307">
        <f>+I66*$J$64/$I$64</f>
        <v>330345.98715870274</v>
      </c>
      <c r="K66" s="306">
        <f>+I66+J66</f>
        <v>1450962.6761587027</v>
      </c>
      <c r="L66" s="225"/>
      <c r="M66" s="225"/>
      <c r="N66" s="225"/>
      <c r="O66" s="225"/>
      <c r="P66" s="225"/>
      <c r="Q66" s="225"/>
      <c r="R66" s="225"/>
      <c r="S66" s="225"/>
      <c r="T66" s="98"/>
      <c r="V66" s="295"/>
    </row>
    <row r="67" spans="1:22" ht="26.25" customHeight="1" x14ac:dyDescent="0.5">
      <c r="A67" s="303">
        <f>+'ข้อมูล ต.3-505,708,709ไป สนน.'!A63</f>
        <v>402</v>
      </c>
      <c r="B67" s="304" t="str">
        <f>+'ข้อมูล ต.3-505,708,709ไป สนน.'!B63</f>
        <v>จัดทำและเผยแพร่ข้อมูลสารสนเทศการเกษตรระดับภูมิภาค</v>
      </c>
      <c r="C67" s="325">
        <f>+'ข้อมูล ต.3-505,708,709ไป สนน.'!C63</f>
        <v>135961779.29999998</v>
      </c>
      <c r="D67" s="250">
        <f>+C67*$D$64/$C$64</f>
        <v>25505860.026242092</v>
      </c>
      <c r="E67" s="305">
        <f>+C67+D67</f>
        <v>161467639.32624209</v>
      </c>
      <c r="F67" s="249">
        <f>+'ข้อมูล ต.3-505,708,709ไป สนน.'!D63</f>
        <v>7354644.0781794861</v>
      </c>
      <c r="G67" s="250">
        <f>+F67*$G$64/$F$64</f>
        <v>4209139.8772465903</v>
      </c>
      <c r="H67" s="306">
        <f>+F67+G67</f>
        <v>11563783.955426076</v>
      </c>
      <c r="I67" s="249">
        <f>+'ข้อมูล ต.3-505,708,709ไป สนน.'!E63</f>
        <v>6723700.1340000005</v>
      </c>
      <c r="J67" s="307">
        <f>+I67*$J$64/$I$64</f>
        <v>1982075.9229522168</v>
      </c>
      <c r="K67" s="306">
        <f>+I67+J67</f>
        <v>8705776.0569522176</v>
      </c>
      <c r="L67" s="225"/>
      <c r="M67" s="225"/>
      <c r="N67" s="225"/>
      <c r="O67" s="225"/>
      <c r="P67" s="225"/>
      <c r="Q67" s="225"/>
      <c r="R67" s="225"/>
      <c r="S67" s="225"/>
      <c r="T67" s="98"/>
      <c r="V67" s="295"/>
    </row>
    <row r="68" spans="1:22" ht="26.25" customHeight="1" x14ac:dyDescent="0.5">
      <c r="A68" s="303">
        <f>+'ข้อมูล ต.3-505,708,709ไป สนน.'!A64</f>
        <v>403</v>
      </c>
      <c r="B68" s="304" t="str">
        <f>+'ข้อมูล ต.3-505,708,709ไป สนน.'!B64</f>
        <v>ติดตามและประเมินผลการพัฒนาการเกษตรระดับจังหวัดและกลุ่มจังหวัด</v>
      </c>
      <c r="C68" s="325">
        <f>+'ข้อมูล ต.3-505,708,709ไป สนน.'!C64</f>
        <v>33990444.824999996</v>
      </c>
      <c r="D68" s="250">
        <f>+C68*$D$64/$C$64</f>
        <v>6376465.0065605231</v>
      </c>
      <c r="E68" s="305">
        <f>+C68+D68</f>
        <v>40366909.831560522</v>
      </c>
      <c r="F68" s="249">
        <f>+'ข้อมูล ต.3-505,708,709ไป สนน.'!D64</f>
        <v>1838661.0195448715</v>
      </c>
      <c r="G68" s="250">
        <f>+F68*$G$64/$F$64</f>
        <v>1052284.9693116476</v>
      </c>
      <c r="H68" s="306">
        <f>+F68+G68</f>
        <v>2890945.9888565191</v>
      </c>
      <c r="I68" s="249">
        <f>+'ข้อมูล ต.3-505,708,709ไป สนน.'!E64</f>
        <v>1680925.0335000001</v>
      </c>
      <c r="J68" s="307">
        <f>+I68*$J$64/$I$64</f>
        <v>495518.9807380542</v>
      </c>
      <c r="K68" s="306">
        <f>+I68+J68</f>
        <v>2176444.0142380544</v>
      </c>
      <c r="L68" s="225"/>
      <c r="M68" s="225"/>
      <c r="N68" s="225"/>
      <c r="O68" s="225"/>
      <c r="P68" s="225"/>
      <c r="Q68" s="225"/>
      <c r="R68" s="225"/>
      <c r="S68" s="225"/>
      <c r="T68" s="98"/>
      <c r="V68" s="295"/>
    </row>
    <row r="69" spans="1:22" ht="26.25" customHeight="1" x14ac:dyDescent="0.5">
      <c r="A69" s="296"/>
      <c r="B69" s="297"/>
      <c r="C69" s="298"/>
      <c r="D69" s="334"/>
      <c r="E69" s="301"/>
      <c r="F69" s="298"/>
      <c r="G69" s="334"/>
      <c r="H69" s="301"/>
      <c r="I69" s="298"/>
      <c r="J69" s="335"/>
      <c r="K69" s="301"/>
      <c r="L69" s="762">
        <f>+L6+L18+L21+L28+L43+L55+L64</f>
        <v>662254746.49000001</v>
      </c>
      <c r="M69" s="225"/>
      <c r="N69" s="225"/>
      <c r="O69" s="225"/>
      <c r="P69" s="225"/>
      <c r="Q69" s="225"/>
      <c r="R69" s="225"/>
      <c r="S69" s="225"/>
      <c r="T69" s="98"/>
      <c r="V69" s="295"/>
    </row>
    <row r="70" spans="1:22" s="267" customFormat="1" ht="26.25" customHeight="1" thickBot="1" x14ac:dyDescent="0.55000000000000004">
      <c r="A70" s="608"/>
      <c r="B70" s="609" t="s">
        <v>70</v>
      </c>
      <c r="C70" s="610">
        <f t="shared" ref="C70:K70" si="26">+C6+C18+C21+C28+C43+C55+C64</f>
        <v>485872897.98008466</v>
      </c>
      <c r="D70" s="611">
        <f t="shared" si="26"/>
        <v>91147719.529915303</v>
      </c>
      <c r="E70" s="612">
        <f t="shared" si="26"/>
        <v>577020617.50999999</v>
      </c>
      <c r="F70" s="610">
        <f t="shared" si="26"/>
        <v>26305642.724705923</v>
      </c>
      <c r="G70" s="611">
        <f t="shared" si="26"/>
        <v>15054994.995294072</v>
      </c>
      <c r="H70" s="612">
        <f t="shared" si="26"/>
        <v>41360637.719999999</v>
      </c>
      <c r="I70" s="610">
        <f t="shared" si="26"/>
        <v>33884652.802243456</v>
      </c>
      <c r="J70" s="613">
        <f t="shared" si="26"/>
        <v>9988838.4577565566</v>
      </c>
      <c r="K70" s="612">
        <f t="shared" si="26"/>
        <v>43873491.260000013</v>
      </c>
      <c r="L70" s="761">
        <f>+E70+H70+K70</f>
        <v>662254746.49000001</v>
      </c>
      <c r="M70" s="614"/>
      <c r="N70" s="614"/>
      <c r="O70" s="614"/>
      <c r="P70" s="614"/>
      <c r="Q70" s="614"/>
      <c r="R70" s="614"/>
      <c r="S70" s="614"/>
      <c r="T70" s="124">
        <f>+E70+H70+K70</f>
        <v>662254746.49000001</v>
      </c>
      <c r="V70" s="442"/>
    </row>
    <row r="71" spans="1:22" ht="22.5" thickTop="1" x14ac:dyDescent="0.5">
      <c r="A71" s="144"/>
      <c r="B71" s="144"/>
      <c r="C71" s="336"/>
      <c r="D71" s="219">
        <f>+'ข้อมูล ต.3-505,708,709ไป สนน.'!C65</f>
        <v>91147719.529915303</v>
      </c>
      <c r="E71" s="225"/>
      <c r="F71" s="336"/>
      <c r="G71" s="219">
        <f>+'ข้อมูล ต.3-505,708,709ไป สนน.'!D65</f>
        <v>15054994.995294072</v>
      </c>
      <c r="H71" s="225"/>
      <c r="I71" s="336"/>
      <c r="J71" s="219">
        <f>+'ข้อมูล ต.3-505,708,709ไป สนน.'!E65</f>
        <v>9988838.4577565566</v>
      </c>
      <c r="K71" s="225"/>
      <c r="L71" s="225"/>
      <c r="M71" s="225"/>
      <c r="N71" s="225"/>
      <c r="O71" s="225"/>
      <c r="P71" s="225"/>
      <c r="Q71" s="225"/>
      <c r="R71" s="225"/>
      <c r="S71" s="225"/>
      <c r="T71" s="98">
        <f>+'ข้อมูล ต.3-505,708,709ไป สนน.'!F83</f>
        <v>662254746.49000001</v>
      </c>
      <c r="V71" s="295"/>
    </row>
    <row r="72" spans="1:22" x14ac:dyDescent="0.5">
      <c r="A72" s="144"/>
      <c r="B72" s="144" t="s">
        <v>312</v>
      </c>
      <c r="C72" s="336"/>
      <c r="D72" s="219" t="s">
        <v>67</v>
      </c>
      <c r="G72" s="225" t="s">
        <v>69</v>
      </c>
      <c r="H72" s="225"/>
      <c r="I72" s="336"/>
      <c r="J72" s="336" t="s">
        <v>77</v>
      </c>
      <c r="K72" s="225"/>
      <c r="L72" s="219" t="s">
        <v>78</v>
      </c>
      <c r="M72" s="225"/>
      <c r="N72" s="225"/>
      <c r="O72" s="225"/>
      <c r="P72" s="225"/>
      <c r="Q72" s="225"/>
      <c r="R72" s="225"/>
      <c r="S72" s="225"/>
      <c r="T72" s="98"/>
      <c r="V72" s="295"/>
    </row>
    <row r="73" spans="1:22" x14ac:dyDescent="0.5">
      <c r="A73" s="144"/>
      <c r="B73" s="144" t="s">
        <v>82</v>
      </c>
      <c r="C73" s="336"/>
      <c r="D73" s="219">
        <f>+'ข้อมูล ต.3-505,708,709ไป สนน.'!C65</f>
        <v>91147719.529915303</v>
      </c>
      <c r="G73" s="219">
        <f>+'ข้อมูล ต.3-505,708,709ไป สนน.'!D65</f>
        <v>15054994.995294072</v>
      </c>
      <c r="H73" s="225"/>
      <c r="I73" s="336"/>
      <c r="J73" s="219">
        <f>+'ข้อมูล ต.3-505,708,709ไป สนน.'!E65</f>
        <v>9988838.4577565566</v>
      </c>
      <c r="K73" s="225"/>
      <c r="L73" s="219">
        <f>SUM(D73:J73)</f>
        <v>116191552.98296592</v>
      </c>
      <c r="M73" s="225"/>
      <c r="N73" s="225"/>
      <c r="O73" s="225"/>
      <c r="P73" s="225"/>
      <c r="Q73" s="225"/>
      <c r="R73" s="225"/>
      <c r="S73" s="225"/>
      <c r="T73" s="98"/>
      <c r="V73" s="295"/>
    </row>
    <row r="74" spans="1:22" x14ac:dyDescent="0.5">
      <c r="A74" s="144"/>
      <c r="B74" s="144"/>
      <c r="C74" s="336"/>
      <c r="D74" s="219"/>
      <c r="E74" s="225"/>
      <c r="F74" s="336"/>
      <c r="G74" s="219"/>
      <c r="H74" s="225"/>
      <c r="I74" s="336"/>
      <c r="J74" s="219"/>
      <c r="K74" s="225"/>
      <c r="M74" s="225"/>
      <c r="N74" s="225"/>
      <c r="O74" s="225"/>
      <c r="P74" s="225"/>
      <c r="Q74" s="225"/>
      <c r="R74" s="225"/>
      <c r="S74" s="225"/>
      <c r="T74" s="98"/>
      <c r="V74" s="295"/>
    </row>
    <row r="75" spans="1:22" x14ac:dyDescent="0.5">
      <c r="A75" s="144"/>
      <c r="B75" s="144"/>
      <c r="C75" s="336"/>
      <c r="D75" s="219"/>
      <c r="E75" s="225"/>
      <c r="F75" s="336"/>
      <c r="G75" s="219"/>
      <c r="H75" s="225"/>
      <c r="I75" s="336"/>
      <c r="J75" s="219"/>
      <c r="K75" s="225"/>
      <c r="L75" s="225">
        <f>+L6+L18+L21+L28+L43+L55+L64</f>
        <v>662254746.49000001</v>
      </c>
      <c r="M75" s="225"/>
      <c r="N75" s="225"/>
      <c r="O75" s="225"/>
      <c r="P75" s="225"/>
      <c r="Q75" s="225"/>
      <c r="R75" s="225"/>
      <c r="S75" s="225"/>
      <c r="T75" s="98"/>
      <c r="V75" s="295"/>
    </row>
    <row r="76" spans="1:22" x14ac:dyDescent="0.5">
      <c r="A76" s="144"/>
      <c r="B76" s="144"/>
      <c r="C76" s="336"/>
      <c r="D76" s="219"/>
      <c r="E76" s="225"/>
      <c r="F76" s="336"/>
      <c r="G76" s="219"/>
      <c r="H76" s="225"/>
      <c r="I76" s="336"/>
      <c r="J76" s="219"/>
      <c r="K76" s="225"/>
      <c r="L76" s="225">
        <f>+'ข้อมูล ต.3-505,708,709ไป สนน.'!F84</f>
        <v>662254746.48999989</v>
      </c>
      <c r="M76" s="225"/>
      <c r="N76" s="225"/>
      <c r="O76" s="225"/>
      <c r="P76" s="225"/>
      <c r="Q76" s="225"/>
      <c r="R76" s="225"/>
      <c r="S76" s="225"/>
      <c r="T76" s="98"/>
      <c r="V76" s="295"/>
    </row>
    <row r="77" spans="1:22" x14ac:dyDescent="0.5">
      <c r="A77" s="144"/>
      <c r="B77" s="144"/>
      <c r="C77" s="336"/>
      <c r="D77" s="219"/>
      <c r="E77" s="225"/>
      <c r="F77" s="336"/>
      <c r="G77" s="219"/>
      <c r="H77" s="225"/>
      <c r="I77" s="336"/>
      <c r="J77" s="219"/>
      <c r="K77" s="225"/>
      <c r="L77" s="225"/>
      <c r="M77" s="225"/>
      <c r="N77" s="225"/>
      <c r="O77" s="225"/>
      <c r="P77" s="225"/>
      <c r="Q77" s="225"/>
      <c r="R77" s="225"/>
      <c r="S77" s="225"/>
      <c r="T77" s="98"/>
      <c r="V77" s="295"/>
    </row>
    <row r="78" spans="1:22" x14ac:dyDescent="0.5">
      <c r="A78" s="144"/>
      <c r="B78" s="144"/>
      <c r="C78" s="336"/>
      <c r="D78" s="219"/>
      <c r="E78" s="225"/>
      <c r="F78" s="336"/>
      <c r="G78" s="219"/>
      <c r="H78" s="225"/>
      <c r="I78" s="336"/>
      <c r="J78" s="219"/>
      <c r="K78" s="225"/>
      <c r="L78" s="225"/>
      <c r="M78" s="225"/>
      <c r="N78" s="225"/>
      <c r="O78" s="225"/>
      <c r="P78" s="225"/>
      <c r="Q78" s="225"/>
      <c r="R78" s="225"/>
      <c r="S78" s="225"/>
      <c r="T78" s="98"/>
      <c r="V78" s="295"/>
    </row>
    <row r="79" spans="1:22" x14ac:dyDescent="0.5">
      <c r="A79" s="144"/>
      <c r="B79" s="337"/>
      <c r="C79" s="338"/>
      <c r="D79" s="339" t="s">
        <v>319</v>
      </c>
      <c r="E79" s="1512" t="s">
        <v>335</v>
      </c>
      <c r="F79" s="339" t="s">
        <v>70</v>
      </c>
      <c r="G79" s="219"/>
      <c r="H79" s="225"/>
      <c r="I79" s="144"/>
      <c r="J79" s="144"/>
      <c r="K79" s="225"/>
      <c r="L79" s="225"/>
      <c r="M79" s="225"/>
      <c r="N79" s="225"/>
      <c r="O79" s="225"/>
      <c r="P79" s="225"/>
      <c r="Q79" s="225"/>
      <c r="R79" s="225"/>
      <c r="S79" s="225"/>
    </row>
    <row r="80" spans="1:22" x14ac:dyDescent="0.5">
      <c r="A80" s="144"/>
      <c r="B80" s="340"/>
      <c r="C80" s="340"/>
      <c r="D80" s="340" t="s">
        <v>334</v>
      </c>
      <c r="E80" s="1513"/>
      <c r="F80" s="341"/>
      <c r="G80" s="342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</row>
    <row r="81" spans="1:19" s="350" customFormat="1" x14ac:dyDescent="0.5">
      <c r="A81" s="343"/>
      <c r="B81" s="344" t="s">
        <v>239</v>
      </c>
      <c r="C81" s="345"/>
      <c r="D81" s="346">
        <v>10</v>
      </c>
      <c r="E81" s="347"/>
      <c r="F81" s="348">
        <f>SUM(D81:E81)</f>
        <v>10</v>
      </c>
      <c r="G81" s="349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</row>
    <row r="82" spans="1:19" s="358" customFormat="1" x14ac:dyDescent="0.5">
      <c r="A82" s="351"/>
      <c r="B82" s="352" t="s">
        <v>137</v>
      </c>
      <c r="C82" s="353"/>
      <c r="D82" s="354">
        <v>1</v>
      </c>
      <c r="E82" s="355"/>
      <c r="F82" s="356">
        <f t="shared" ref="F82:F88" si="27">SUM(D82:E82)</f>
        <v>1</v>
      </c>
      <c r="G82" s="357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</row>
    <row r="83" spans="1:19" s="358" customFormat="1" x14ac:dyDescent="0.5">
      <c r="A83" s="351"/>
      <c r="B83" s="352" t="s">
        <v>240</v>
      </c>
      <c r="C83" s="353"/>
      <c r="D83" s="354">
        <v>5</v>
      </c>
      <c r="E83" s="355">
        <v>1</v>
      </c>
      <c r="F83" s="356">
        <f t="shared" si="27"/>
        <v>6</v>
      </c>
      <c r="G83" s="357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</row>
    <row r="84" spans="1:19" s="350" customFormat="1" x14ac:dyDescent="0.5">
      <c r="A84" s="343"/>
      <c r="B84" s="344" t="s">
        <v>91</v>
      </c>
      <c r="C84" s="345"/>
      <c r="D84" s="346">
        <v>14</v>
      </c>
      <c r="E84" s="347"/>
      <c r="F84" s="348">
        <f t="shared" si="27"/>
        <v>14</v>
      </c>
      <c r="G84" s="349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</row>
    <row r="85" spans="1:19" s="358" customFormat="1" x14ac:dyDescent="0.5">
      <c r="A85" s="351"/>
      <c r="B85" s="352" t="s">
        <v>92</v>
      </c>
      <c r="C85" s="353"/>
      <c r="D85" s="354">
        <v>13</v>
      </c>
      <c r="E85" s="355">
        <v>2</v>
      </c>
      <c r="F85" s="356">
        <f t="shared" si="27"/>
        <v>15</v>
      </c>
      <c r="G85" s="357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</row>
    <row r="86" spans="1:19" s="358" customFormat="1" x14ac:dyDescent="0.5">
      <c r="A86" s="351"/>
      <c r="B86" s="352" t="s">
        <v>93</v>
      </c>
      <c r="C86" s="353"/>
      <c r="D86" s="354">
        <v>7</v>
      </c>
      <c r="E86" s="355"/>
      <c r="F86" s="356">
        <f t="shared" si="27"/>
        <v>7</v>
      </c>
      <c r="G86" s="357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</row>
    <row r="87" spans="1:19" s="358" customFormat="1" x14ac:dyDescent="0.5">
      <c r="A87" s="351"/>
      <c r="B87" s="352" t="s">
        <v>196</v>
      </c>
      <c r="C87" s="353"/>
      <c r="D87" s="354">
        <v>4</v>
      </c>
      <c r="E87" s="355"/>
      <c r="F87" s="356">
        <f t="shared" si="27"/>
        <v>4</v>
      </c>
      <c r="G87" s="357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</row>
    <row r="88" spans="1:19" x14ac:dyDescent="0.5">
      <c r="A88" s="144"/>
      <c r="B88" s="359" t="s">
        <v>89</v>
      </c>
      <c r="C88" s="334"/>
      <c r="D88" s="360"/>
      <c r="E88" s="360">
        <v>14</v>
      </c>
      <c r="F88" s="361">
        <f t="shared" si="27"/>
        <v>14</v>
      </c>
      <c r="G88" s="342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</row>
    <row r="89" spans="1:19" ht="22.5" thickBot="1" x14ac:dyDescent="0.55000000000000004">
      <c r="A89" s="144"/>
      <c r="B89" s="362" t="s">
        <v>70</v>
      </c>
      <c r="C89" s="236"/>
      <c r="D89" s="363">
        <f>SUM(D81:D88)</f>
        <v>54</v>
      </c>
      <c r="E89" s="363">
        <f>SUM(E81:E88)</f>
        <v>17</v>
      </c>
      <c r="F89" s="363">
        <f>SUM(F81:F88)</f>
        <v>71</v>
      </c>
      <c r="G89" s="342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</row>
    <row r="90" spans="1:19" ht="22.5" thickTop="1" x14ac:dyDescent="0.5">
      <c r="A90" s="144"/>
      <c r="B90" s="144"/>
      <c r="C90" s="219"/>
      <c r="D90" s="219"/>
      <c r="E90" s="219"/>
      <c r="F90" s="223"/>
      <c r="G90" s="219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</row>
    <row r="91" spans="1:19" x14ac:dyDescent="0.5">
      <c r="A91" s="144"/>
      <c r="B91" s="144"/>
      <c r="C91" s="219"/>
      <c r="D91" s="219"/>
      <c r="E91" s="219"/>
      <c r="F91" s="223"/>
      <c r="G91" s="219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</row>
    <row r="92" spans="1:19" x14ac:dyDescent="0.5">
      <c r="A92" s="144"/>
      <c r="B92" s="144"/>
      <c r="C92" s="219"/>
      <c r="D92" s="219"/>
      <c r="E92" s="219"/>
      <c r="F92" s="223"/>
      <c r="G92" s="219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</row>
    <row r="93" spans="1:19" x14ac:dyDescent="0.5">
      <c r="A93" s="144"/>
      <c r="B93" s="144"/>
      <c r="C93" s="219"/>
      <c r="D93" s="219"/>
      <c r="E93" s="219"/>
      <c r="F93" s="223"/>
      <c r="G93" s="219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</row>
    <row r="94" spans="1:19" x14ac:dyDescent="0.5">
      <c r="A94" s="144"/>
      <c r="B94" s="144"/>
      <c r="C94" s="219"/>
      <c r="D94" s="219"/>
      <c r="E94" s="219"/>
      <c r="F94" s="223"/>
      <c r="G94" s="219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</row>
    <row r="95" spans="1:19" x14ac:dyDescent="0.5">
      <c r="A95" s="144"/>
      <c r="B95" s="144"/>
      <c r="C95" s="219"/>
      <c r="D95" s="219"/>
      <c r="E95" s="219"/>
      <c r="F95" s="223"/>
      <c r="G95" s="219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</row>
    <row r="96" spans="1:19" x14ac:dyDescent="0.5">
      <c r="A96" s="144"/>
      <c r="B96" s="144"/>
      <c r="C96" s="219"/>
      <c r="D96" s="219"/>
      <c r="E96" s="219"/>
      <c r="F96" s="223"/>
      <c r="G96" s="219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</row>
    <row r="97" spans="1:19" x14ac:dyDescent="0.5">
      <c r="A97" s="144"/>
      <c r="B97" s="144"/>
      <c r="C97" s="219"/>
      <c r="D97" s="219"/>
      <c r="E97" s="219"/>
      <c r="F97" s="223"/>
      <c r="G97" s="219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</row>
    <row r="98" spans="1:19" x14ac:dyDescent="0.5">
      <c r="A98" s="144"/>
      <c r="B98" s="144"/>
      <c r="C98" s="219"/>
      <c r="D98" s="219"/>
      <c r="E98" s="219"/>
      <c r="F98" s="223"/>
      <c r="G98" s="219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</row>
    <row r="99" spans="1:19" x14ac:dyDescent="0.5">
      <c r="A99" s="144"/>
      <c r="B99" s="144"/>
      <c r="C99" s="219"/>
      <c r="D99" s="219"/>
      <c r="E99" s="219"/>
      <c r="F99" s="223"/>
      <c r="G99" s="219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</row>
    <row r="100" spans="1:19" x14ac:dyDescent="0.5">
      <c r="A100" s="144"/>
      <c r="B100" s="144"/>
      <c r="C100" s="219"/>
      <c r="D100" s="219"/>
      <c r="E100" s="219"/>
      <c r="F100" s="223"/>
      <c r="G100" s="219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</row>
    <row r="101" spans="1:19" x14ac:dyDescent="0.5">
      <c r="A101" s="144"/>
      <c r="B101" s="144"/>
      <c r="C101" s="219"/>
      <c r="D101" s="219"/>
      <c r="E101" s="219"/>
      <c r="F101" s="223"/>
      <c r="G101" s="219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</row>
    <row r="102" spans="1:19" x14ac:dyDescent="0.5">
      <c r="A102" s="144"/>
      <c r="B102" s="144"/>
      <c r="C102" s="219"/>
      <c r="D102" s="219"/>
      <c r="E102" s="219"/>
      <c r="F102" s="223"/>
      <c r="G102" s="219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</row>
    <row r="103" spans="1:19" x14ac:dyDescent="0.5">
      <c r="A103" s="144"/>
      <c r="B103" s="144"/>
      <c r="C103" s="219"/>
      <c r="D103" s="219"/>
      <c r="E103" s="219"/>
      <c r="F103" s="223"/>
      <c r="G103" s="219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</row>
    <row r="104" spans="1:19" x14ac:dyDescent="0.5">
      <c r="A104" s="144"/>
      <c r="B104" s="144"/>
      <c r="C104" s="219"/>
      <c r="D104" s="219"/>
      <c r="E104" s="219"/>
      <c r="F104" s="223"/>
      <c r="G104" s="219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</row>
    <row r="105" spans="1:19" x14ac:dyDescent="0.5">
      <c r="A105" s="144"/>
      <c r="B105" s="144"/>
      <c r="C105" s="219"/>
      <c r="D105" s="219"/>
      <c r="E105" s="219"/>
      <c r="F105" s="223"/>
      <c r="G105" s="219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</row>
    <row r="106" spans="1:19" x14ac:dyDescent="0.5">
      <c r="A106" s="144"/>
      <c r="B106" s="144"/>
      <c r="C106" s="219"/>
      <c r="D106" s="219"/>
      <c r="E106" s="219"/>
      <c r="F106" s="223"/>
      <c r="G106" s="219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</row>
    <row r="107" spans="1:19" x14ac:dyDescent="0.5">
      <c r="A107" s="144"/>
      <c r="B107" s="144"/>
      <c r="C107" s="219"/>
      <c r="D107" s="219"/>
      <c r="E107" s="219"/>
      <c r="F107" s="223"/>
      <c r="G107" s="219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</row>
    <row r="108" spans="1:19" x14ac:dyDescent="0.5">
      <c r="A108" s="144"/>
      <c r="B108" s="144"/>
      <c r="C108" s="219"/>
      <c r="D108" s="219"/>
      <c r="E108" s="219"/>
      <c r="F108" s="223"/>
      <c r="G108" s="219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</row>
    <row r="109" spans="1:19" x14ac:dyDescent="0.5">
      <c r="A109" s="144"/>
      <c r="B109" s="144"/>
      <c r="C109" s="219"/>
      <c r="D109" s="219"/>
      <c r="E109" s="219"/>
      <c r="F109" s="223"/>
      <c r="G109" s="219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</row>
    <row r="110" spans="1:19" x14ac:dyDescent="0.5">
      <c r="A110" s="144"/>
      <c r="B110" s="144"/>
      <c r="C110" s="219"/>
      <c r="D110" s="219"/>
      <c r="E110" s="219"/>
      <c r="F110" s="223"/>
      <c r="G110" s="219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</row>
    <row r="111" spans="1:19" x14ac:dyDescent="0.5">
      <c r="A111" s="144"/>
      <c r="B111" s="144"/>
      <c r="C111" s="219"/>
      <c r="D111" s="219"/>
      <c r="E111" s="219"/>
      <c r="F111" s="223"/>
      <c r="G111" s="219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</row>
    <row r="112" spans="1:19" x14ac:dyDescent="0.5">
      <c r="A112" s="144"/>
      <c r="B112" s="144"/>
      <c r="C112" s="219"/>
      <c r="D112" s="219"/>
      <c r="E112" s="219"/>
      <c r="F112" s="223"/>
      <c r="G112" s="219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</row>
    <row r="113" spans="1:19" x14ac:dyDescent="0.5">
      <c r="A113" s="144"/>
      <c r="B113" s="144"/>
      <c r="C113" s="219"/>
      <c r="D113" s="219"/>
      <c r="E113" s="219"/>
      <c r="F113" s="223"/>
      <c r="G113" s="219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</row>
    <row r="114" spans="1:19" x14ac:dyDescent="0.5">
      <c r="A114" s="144"/>
      <c r="B114" s="144"/>
      <c r="C114" s="219"/>
      <c r="D114" s="219"/>
      <c r="E114" s="219"/>
      <c r="F114" s="223"/>
      <c r="G114" s="219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</row>
    <row r="115" spans="1:19" x14ac:dyDescent="0.5">
      <c r="C115" s="98"/>
      <c r="D115" s="98"/>
      <c r="E115" s="98"/>
      <c r="F115" s="237"/>
      <c r="G115" s="98"/>
      <c r="H115" s="269"/>
      <c r="I115" s="269"/>
    </row>
    <row r="116" spans="1:19" x14ac:dyDescent="0.5">
      <c r="C116" s="98"/>
      <c r="D116" s="98"/>
      <c r="E116" s="98"/>
      <c r="F116" s="237"/>
      <c r="G116" s="98"/>
      <c r="H116" s="269"/>
      <c r="I116" s="269"/>
    </row>
    <row r="117" spans="1:19" x14ac:dyDescent="0.5">
      <c r="C117" s="98"/>
      <c r="D117" s="98"/>
      <c r="E117" s="98"/>
      <c r="F117" s="237"/>
      <c r="G117" s="98"/>
      <c r="H117" s="269"/>
      <c r="I117" s="269"/>
    </row>
    <row r="118" spans="1:19" x14ac:dyDescent="0.5">
      <c r="C118" s="98"/>
      <c r="D118" s="98"/>
      <c r="E118" s="98"/>
      <c r="F118" s="237"/>
      <c r="G118" s="98"/>
      <c r="H118" s="269"/>
      <c r="I118" s="269"/>
    </row>
    <row r="119" spans="1:19" x14ac:dyDescent="0.5">
      <c r="C119" s="98"/>
      <c r="D119" s="98"/>
      <c r="E119" s="98"/>
      <c r="F119" s="237"/>
      <c r="G119" s="98"/>
      <c r="H119" s="269"/>
      <c r="I119" s="269"/>
    </row>
    <row r="120" spans="1:19" x14ac:dyDescent="0.5">
      <c r="C120" s="98"/>
      <c r="D120" s="98"/>
      <c r="E120" s="98"/>
      <c r="F120" s="98"/>
      <c r="G120" s="98"/>
      <c r="H120" s="237"/>
      <c r="I120" s="237"/>
      <c r="J120" s="98"/>
    </row>
  </sheetData>
  <mergeCells count="4">
    <mergeCell ref="C3:E3"/>
    <mergeCell ref="F3:H3"/>
    <mergeCell ref="I3:K3"/>
    <mergeCell ref="E79:E80"/>
  </mergeCells>
  <pageMargins left="0.39370078740157483" right="0" top="0.39370078740157483" bottom="0.19685039370078741" header="0" footer="0"/>
  <pageSetup scale="64" orientation="landscape" r:id="rId1"/>
  <headerFooter alignWithMargins="0"/>
  <rowBreaks count="1" manualBreakCount="1">
    <brk id="27" max="16383" man="1"/>
  </rowBreaks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L69"/>
  <sheetViews>
    <sheetView view="pageBreakPreview" zoomScale="90" zoomScaleNormal="100" zoomScaleSheetLayoutView="90" workbookViewId="0">
      <pane ySplit="3" topLeftCell="A43" activePane="bottomLeft" state="frozen"/>
      <selection activeCell="E30" sqref="E30"/>
      <selection pane="bottomLeft" sqref="A1:XFD1048576"/>
    </sheetView>
  </sheetViews>
  <sheetFormatPr defaultColWidth="9" defaultRowHeight="21.75" x14ac:dyDescent="0.5"/>
  <cols>
    <col min="1" max="1" width="3.7109375" style="269" customWidth="1"/>
    <col min="2" max="2" width="54.5703125" style="269" customWidth="1"/>
    <col min="3" max="3" width="17.140625" style="269" customWidth="1"/>
    <col min="4" max="4" width="17.42578125" style="269" customWidth="1"/>
    <col min="5" max="5" width="14.28515625" style="269" bestFit="1" customWidth="1"/>
    <col min="6" max="6" width="15.85546875" style="269" bestFit="1" customWidth="1"/>
    <col min="7" max="7" width="10.42578125" style="269" customWidth="1"/>
    <col min="8" max="8" width="10.42578125" style="270" customWidth="1"/>
    <col min="9" max="9" width="15.42578125" style="270" customWidth="1"/>
    <col min="10" max="10" width="40.28515625" style="269" customWidth="1"/>
    <col min="11" max="11" width="17.42578125" style="269" customWidth="1"/>
    <col min="12" max="12" width="37.5703125" style="269" customWidth="1"/>
    <col min="13" max="13" width="14.28515625" style="269" bestFit="1" customWidth="1"/>
    <col min="14" max="14" width="12.5703125" style="269" customWidth="1"/>
    <col min="15" max="15" width="12.85546875" style="269" bestFit="1" customWidth="1"/>
    <col min="16" max="16" width="9" style="269"/>
    <col min="17" max="17" width="14.140625" style="269" bestFit="1" customWidth="1"/>
    <col min="18" max="16384" width="9" style="269"/>
  </cols>
  <sheetData>
    <row r="1" spans="1:12" ht="19.5" customHeight="1" x14ac:dyDescent="0.5">
      <c r="A1" s="268" t="s">
        <v>584</v>
      </c>
      <c r="B1" s="268"/>
    </row>
    <row r="2" spans="1:12" ht="19.5" customHeight="1" thickBot="1" x14ac:dyDescent="0.55000000000000004">
      <c r="D2" s="423"/>
      <c r="I2" s="425" t="s">
        <v>116</v>
      </c>
    </row>
    <row r="3" spans="1:12" s="1460" customFormat="1" ht="19.5" customHeight="1" thickBot="1" x14ac:dyDescent="0.55000000000000004">
      <c r="A3" s="1514" t="s">
        <v>397</v>
      </c>
      <c r="B3" s="1515"/>
      <c r="C3" s="1457" t="s">
        <v>67</v>
      </c>
      <c r="D3" s="1457" t="s">
        <v>69</v>
      </c>
      <c r="E3" s="1457" t="s">
        <v>77</v>
      </c>
      <c r="F3" s="1457" t="s">
        <v>78</v>
      </c>
      <c r="G3" s="1457" t="s">
        <v>83</v>
      </c>
      <c r="H3" s="1457" t="s">
        <v>81</v>
      </c>
      <c r="I3" s="1458" t="s">
        <v>85</v>
      </c>
      <c r="J3" s="1459" t="s">
        <v>193</v>
      </c>
      <c r="L3" s="126"/>
    </row>
    <row r="4" spans="1:12" s="126" customFormat="1" ht="19.5" customHeight="1" x14ac:dyDescent="0.2">
      <c r="A4" s="173" t="s">
        <v>239</v>
      </c>
      <c r="B4" s="1461"/>
      <c r="C4" s="151">
        <f>SUM(C5:C14)</f>
        <v>59623864.494422302</v>
      </c>
      <c r="D4" s="151">
        <f>SUM(D5:D14)</f>
        <v>4834392.5602254514</v>
      </c>
      <c r="E4" s="151">
        <f>SUM(E5:E14)</f>
        <v>1923402.8748129427</v>
      </c>
      <c r="F4" s="151">
        <f>SUM(C4:E4)</f>
        <v>66381659.929460697</v>
      </c>
      <c r="G4" s="153"/>
      <c r="H4" s="153"/>
      <c r="I4" s="154"/>
      <c r="K4" s="259">
        <f>+'ปัน ก.สนับ ให้ ก.หลัก- ต.5 ไม่'!L6</f>
        <v>66381659.929460697</v>
      </c>
    </row>
    <row r="5" spans="1:12" s="127" customFormat="1" ht="19.5" customHeight="1" x14ac:dyDescent="0.2">
      <c r="A5" s="133">
        <v>800</v>
      </c>
      <c r="B5" s="515" t="s">
        <v>138</v>
      </c>
      <c r="C5" s="103">
        <f>+'ปัน ก.สนับ ให้ ก.หลัก- ต.5 ไม่'!E7</f>
        <v>11447781.982929079</v>
      </c>
      <c r="D5" s="103">
        <f>+'ปัน ก.สนับ ให้ ก.หลัก- ต.5 ไม่'!H7</f>
        <v>928203.37156328652</v>
      </c>
      <c r="E5" s="103">
        <f>+'ปัน ก.สนับ ให้ ก.หลัก- ต.5 ไม่'!K7</f>
        <v>369293.35196408507</v>
      </c>
      <c r="F5" s="192">
        <f>SUM(C5:E5)</f>
        <v>12745278.706456451</v>
      </c>
      <c r="G5" s="482">
        <f>+'ข้อมูล ต.3-505,708,709ไป สนน.'!G6</f>
        <v>1</v>
      </c>
      <c r="H5" s="482" t="str">
        <f>+'ข้อมูล ต.3-505,708,709ไป สนน.'!H6</f>
        <v>เรื่อง</v>
      </c>
      <c r="I5" s="518">
        <f>+F5/G5</f>
        <v>12745278.706456451</v>
      </c>
      <c r="K5" s="254">
        <v>1</v>
      </c>
      <c r="L5" s="255" t="s">
        <v>1</v>
      </c>
    </row>
    <row r="6" spans="1:12" s="127" customFormat="1" ht="19.5" customHeight="1" x14ac:dyDescent="0.2">
      <c r="A6" s="128">
        <v>801</v>
      </c>
      <c r="B6" s="519" t="s">
        <v>55</v>
      </c>
      <c r="C6" s="106">
        <f>+'ปัน ก.สนับ ให้ ก.หลัก- ต.5 ไม่'!E8</f>
        <v>9378833.8849726263</v>
      </c>
      <c r="D6" s="106">
        <f>+'ปัน ก.สนับ ให้ ก.หลัก- ต.5 ไม่'!H8</f>
        <v>760449.94972346351</v>
      </c>
      <c r="E6" s="106">
        <f>+'ปัน ก.สนับ ให้ ก.หลัก- ต.5 ไม่'!K8</f>
        <v>302551.27220807597</v>
      </c>
      <c r="F6" s="160">
        <f t="shared" ref="F6:F14" si="0">SUM(C6:E6)</f>
        <v>10441835.106904166</v>
      </c>
      <c r="G6" s="234">
        <f>+'ข้อมูล ต.3-505,708,709ไป สนน.'!G7</f>
        <v>4</v>
      </c>
      <c r="H6" s="234" t="str">
        <f>+'ข้อมูล ต.3-505,708,709ไป สนน.'!H7</f>
        <v>ครั้ง</v>
      </c>
      <c r="I6" s="107">
        <f t="shared" ref="I6:I14" si="1">+F6/G6</f>
        <v>2610458.7767260415</v>
      </c>
      <c r="K6" s="254">
        <v>4</v>
      </c>
      <c r="L6" s="255" t="s">
        <v>28</v>
      </c>
    </row>
    <row r="7" spans="1:12" s="127" customFormat="1" ht="19.5" customHeight="1" x14ac:dyDescent="0.2">
      <c r="A7" s="128">
        <v>802</v>
      </c>
      <c r="B7" s="519" t="s">
        <v>169</v>
      </c>
      <c r="C7" s="106">
        <f>+'ปัน ก.สนับ ให้ ก.หลัก- ต.5 ไม่'!E9</f>
        <v>12926453.822390754</v>
      </c>
      <c r="D7" s="106">
        <f>+'ปัน ก.สนับ ให้ ก.หลัก- ต.5 ไม่'!H9</f>
        <v>1048096.3070568778</v>
      </c>
      <c r="E7" s="106">
        <f>+'ปัน ก.สนับ ให้ ก.หลัก- ต.5 ไม่'!K9</f>
        <v>416993.743259446</v>
      </c>
      <c r="F7" s="160">
        <f t="shared" si="0"/>
        <v>14391543.872707078</v>
      </c>
      <c r="G7" s="234">
        <f>+'ข้อมูล ต.3-505,708,709ไป สนน.'!G8</f>
        <v>18</v>
      </c>
      <c r="H7" s="234" t="str">
        <f>+'ข้อมูล ต.3-505,708,709ไป สนน.'!H8</f>
        <v>เรื่อง</v>
      </c>
      <c r="I7" s="107">
        <f t="shared" si="1"/>
        <v>799530.2151503932</v>
      </c>
      <c r="K7" s="254">
        <v>25</v>
      </c>
      <c r="L7" s="255" t="s">
        <v>1</v>
      </c>
    </row>
    <row r="8" spans="1:12" s="127" customFormat="1" ht="19.5" customHeight="1" x14ac:dyDescent="0.2">
      <c r="A8" s="128">
        <v>803</v>
      </c>
      <c r="B8" s="519" t="s">
        <v>33</v>
      </c>
      <c r="C8" s="106">
        <f>+'ปัน ก.สนับ ให้ ก.หลัก- ต.5 ไม่'!E10</f>
        <v>6558625.0943864519</v>
      </c>
      <c r="D8" s="106">
        <f>+'ปัน ก.สนับ ให้ ก.หลัก- ต.5 ไม่'!H10</f>
        <v>531783.18162479962</v>
      </c>
      <c r="E8" s="106">
        <f>+'ปัน ก.สนับ ให้ ก.หลัก- ต.5 ไม่'!K10</f>
        <v>211574.31622942371</v>
      </c>
      <c r="F8" s="160">
        <f t="shared" si="0"/>
        <v>7301982.5922406754</v>
      </c>
      <c r="G8" s="234">
        <f>+'ข้อมูล ต.3-505,708,709ไป สนน.'!G9</f>
        <v>26</v>
      </c>
      <c r="H8" s="234" t="str">
        <f>+'ข้อมูล ต.3-505,708,709ไป สนน.'!H9</f>
        <v>หน่วยงาน</v>
      </c>
      <c r="I8" s="107">
        <f t="shared" si="1"/>
        <v>280845.48431694903</v>
      </c>
      <c r="K8" s="254">
        <v>26</v>
      </c>
      <c r="L8" s="255" t="s">
        <v>29</v>
      </c>
    </row>
    <row r="9" spans="1:12" s="127" customFormat="1" ht="19.5" customHeight="1" x14ac:dyDescent="0.2">
      <c r="A9" s="128">
        <v>804</v>
      </c>
      <c r="B9" s="519" t="s">
        <v>32</v>
      </c>
      <c r="C9" s="106">
        <f>+'ปัน ก.สนับ ให้ ก.หลัก- ต.5 ไม่'!E11</f>
        <v>1788715.9348326689</v>
      </c>
      <c r="D9" s="106">
        <f>+'ปัน ก.สนับ ให้ ก.หลัก- ต.5 ไม่'!H11</f>
        <v>145031.77680676352</v>
      </c>
      <c r="E9" s="106">
        <f>+'ปัน ก.สนับ ให้ ก.หลัก- ต.5 ไม่'!K11</f>
        <v>57702.086244388287</v>
      </c>
      <c r="F9" s="160">
        <f t="shared" si="0"/>
        <v>1991449.7978838207</v>
      </c>
      <c r="G9" s="234">
        <f>+'ข้อมูล ต.3-505,708,709ไป สนน.'!G10</f>
        <v>12</v>
      </c>
      <c r="H9" s="234" t="str">
        <f>+'ข้อมูล ต.3-505,708,709ไป สนน.'!H10</f>
        <v>ครั้ง</v>
      </c>
      <c r="I9" s="107">
        <f t="shared" si="1"/>
        <v>165954.14982365174</v>
      </c>
      <c r="K9" s="254">
        <v>10</v>
      </c>
      <c r="L9" s="255" t="s">
        <v>28</v>
      </c>
    </row>
    <row r="10" spans="1:12" s="127" customFormat="1" ht="19.5" customHeight="1" x14ac:dyDescent="0.2">
      <c r="A10" s="128">
        <v>805</v>
      </c>
      <c r="B10" s="519" t="s">
        <v>31</v>
      </c>
      <c r="C10" s="106">
        <f>+'ปัน ก.สนับ ให้ ก.หลัก- ต.5 ไม่'!E12</f>
        <v>2384954.5797768915</v>
      </c>
      <c r="D10" s="106">
        <f>+'ปัน ก.สนับ ให้ ก.หลัก- ต.5 ไม่'!H12</f>
        <v>193375.70240901803</v>
      </c>
      <c r="E10" s="106">
        <f>+'ปัน ก.สนับ ให้ ก.หลัก- ต.5 ไม่'!K12</f>
        <v>76936.114992517716</v>
      </c>
      <c r="F10" s="160">
        <f t="shared" si="0"/>
        <v>2655266.3971784269</v>
      </c>
      <c r="G10" s="234">
        <f>+'ข้อมูล ต.3-505,708,709ไป สนน.'!G11</f>
        <v>16</v>
      </c>
      <c r="H10" s="234" t="str">
        <f>+'ข้อมูล ต.3-505,708,709ไป สนน.'!H11</f>
        <v>ครั้ง</v>
      </c>
      <c r="I10" s="107">
        <f t="shared" si="1"/>
        <v>165954.14982365168</v>
      </c>
      <c r="K10" s="254">
        <v>14</v>
      </c>
      <c r="L10" s="255" t="s">
        <v>28</v>
      </c>
    </row>
    <row r="11" spans="1:12" s="127" customFormat="1" ht="19.5" customHeight="1" x14ac:dyDescent="0.2">
      <c r="A11" s="128">
        <v>806</v>
      </c>
      <c r="B11" s="519" t="s">
        <v>30</v>
      </c>
      <c r="C11" s="106">
        <f>+'ปัน ก.สนับ ให้ ก.หลัก- ต.5 ไม่'!E13</f>
        <v>7375472.0379600367</v>
      </c>
      <c r="D11" s="106">
        <f>+'ปัน ก.สนับ ให้ ก.หลัก- ต.5 ไม่'!H13</f>
        <v>598014.35969988827</v>
      </c>
      <c r="E11" s="106">
        <f>+'ปัน ก.สนับ ให้ ก.หลัก- ต.5 ไม่'!K13</f>
        <v>237924.93561436105</v>
      </c>
      <c r="F11" s="160">
        <f t="shared" si="0"/>
        <v>8211411.3332742862</v>
      </c>
      <c r="G11" s="234">
        <f>+'ข้อมูล ต.3-505,708,709ไป สนน.'!G12</f>
        <v>40</v>
      </c>
      <c r="H11" s="234" t="str">
        <f>+'ข้อมูล ต.3-505,708,709ไป สนน.'!H12</f>
        <v>ครั้ง</v>
      </c>
      <c r="I11" s="107">
        <f t="shared" si="1"/>
        <v>205285.28333185715</v>
      </c>
      <c r="K11" s="254">
        <v>23</v>
      </c>
      <c r="L11" s="255" t="s">
        <v>28</v>
      </c>
    </row>
    <row r="12" spans="1:12" s="127" customFormat="1" ht="19.5" customHeight="1" x14ac:dyDescent="0.5">
      <c r="A12" s="1439">
        <f>+'ข้อมูล ต.3-505,708,709ไป สนน.'!A14</f>
        <v>808</v>
      </c>
      <c r="B12" s="1462" t="str">
        <f>+'ข้อมูล ต.3-505,708,709ไป สนน.'!B14</f>
        <v>การบริหารจัดการเกษตรเขตเศรษฐกิจ***</v>
      </c>
      <c r="C12" s="106">
        <f>+'ปัน ก.สนับ ให้ ก.หลัก- ต.5 ไม่'!E14</f>
        <v>5366147.8044980057</v>
      </c>
      <c r="D12" s="106">
        <f>+'ปัน ก.สนับ ให้ ก.หลัก- ต.5 ไม่'!H14</f>
        <v>435095.33042029059</v>
      </c>
      <c r="E12" s="106">
        <f>+'ปัน ก.สนับ ให้ ก.หลัก- ต.5 ไม่'!K14</f>
        <v>173106.25873316487</v>
      </c>
      <c r="F12" s="160">
        <f t="shared" si="0"/>
        <v>5974349.3936514612</v>
      </c>
      <c r="G12" s="234">
        <f>+'ข้อมูล ต.3-505,708,709ไป สนน.'!G14</f>
        <v>3</v>
      </c>
      <c r="H12" s="234" t="str">
        <f>+'ข้อมูล ต.3-505,708,709ไป สนน.'!H14</f>
        <v>ครั้ง</v>
      </c>
      <c r="I12" s="107">
        <f t="shared" si="1"/>
        <v>1991449.7978838205</v>
      </c>
      <c r="K12" s="262"/>
      <c r="L12" s="263"/>
    </row>
    <row r="13" spans="1:12" s="127" customFormat="1" ht="19.5" customHeight="1" x14ac:dyDescent="0.5">
      <c r="A13" s="1439">
        <f>+'ข้อมูล ต.3-505,708,709ไป สนน.'!A15</f>
        <v>809</v>
      </c>
      <c r="B13" s="1462" t="str">
        <f>+'ข้อมูล ต.3-505,708,709ไป สนน.'!B15</f>
        <v>การพัฒนาโครงสร้างพื้นฐานและระบบโลจิสติกส์</v>
      </c>
      <c r="C13" s="106">
        <f>+'ปัน ก.สนับ ให้ ก.หลัก- ต.5 ไม่'!E15</f>
        <v>1192477.2898884458</v>
      </c>
      <c r="D13" s="106">
        <f>+'ปัน ก.สนับ ให้ ก.หลัก- ต.5 ไม่'!H15</f>
        <v>96687.851204509017</v>
      </c>
      <c r="E13" s="106">
        <f>+'ปัน ก.สนับ ให้ ก.หลัก- ต.5 ไม่'!K15</f>
        <v>38468.057496258858</v>
      </c>
      <c r="F13" s="160">
        <f t="shared" si="0"/>
        <v>1327633.1985892134</v>
      </c>
      <c r="G13" s="234">
        <f>+'ข้อมูล ต.3-505,708,709ไป สนน.'!G15</f>
        <v>1</v>
      </c>
      <c r="H13" s="234" t="str">
        <f>+'ข้อมูล ต.3-505,708,709ไป สนน.'!H15</f>
        <v>เรื่อง</v>
      </c>
      <c r="I13" s="107">
        <f t="shared" si="1"/>
        <v>1327633.1985892134</v>
      </c>
      <c r="K13" s="262"/>
      <c r="L13" s="263"/>
    </row>
    <row r="14" spans="1:12" s="127" customFormat="1" ht="19.5" customHeight="1" thickBot="1" x14ac:dyDescent="0.55000000000000004">
      <c r="A14" s="692">
        <f>+'ข้อมูล ต.3-505,708,709ไป สนน.'!A16</f>
        <v>810</v>
      </c>
      <c r="B14" s="1463" t="str">
        <f>+'ข้อมูล ต.3-505,708,709ไป สนน.'!B16</f>
        <v>การพัฒนาเกษตรอินทรีย์***</v>
      </c>
      <c r="C14" s="167">
        <f>+'ปัน ก.สนับ ให้ ก.หลัก- ต.5 ไม่'!E16</f>
        <v>1204402.0627873302</v>
      </c>
      <c r="D14" s="167">
        <f>+'ปัน ก.สนับ ให้ ก.หลัก- ต.5 ไม่'!H16</f>
        <v>97654.729716554109</v>
      </c>
      <c r="E14" s="167">
        <f>+'ปัน ก.สนับ ให้ ก.หลัก- ต.5 ไม่'!K16</f>
        <v>38852.738071221451</v>
      </c>
      <c r="F14" s="168">
        <f t="shared" si="0"/>
        <v>1340909.5305751057</v>
      </c>
      <c r="G14" s="253">
        <f>+'ข้อมูล ต.3-505,708,709ไป สนน.'!G16</f>
        <v>1</v>
      </c>
      <c r="H14" s="253" t="str">
        <f>+'ข้อมูล ต.3-505,708,709ไป สนน.'!H16</f>
        <v>เรื่อง</v>
      </c>
      <c r="I14" s="700">
        <f t="shared" si="1"/>
        <v>1340909.5305751057</v>
      </c>
      <c r="K14" s="262"/>
      <c r="L14" s="263"/>
    </row>
    <row r="15" spans="1:12" s="127" customFormat="1" ht="19.5" customHeight="1" x14ac:dyDescent="0.2">
      <c r="A15" s="522" t="s">
        <v>137</v>
      </c>
      <c r="B15" s="1464"/>
      <c r="C15" s="151">
        <f>SUM(C16:C16)</f>
        <v>2134170.8421284007</v>
      </c>
      <c r="D15" s="151">
        <f>SUM(D16:D16)</f>
        <v>817080.99960240431</v>
      </c>
      <c r="E15" s="151">
        <f>SUM(E16:E16)</f>
        <v>326862.85299533117</v>
      </c>
      <c r="F15" s="151">
        <f t="shared" ref="F15:F50" si="2">SUM(C15:E15)</f>
        <v>3278114.6947261365</v>
      </c>
      <c r="G15" s="1465"/>
      <c r="H15" s="1466"/>
      <c r="I15" s="1467"/>
    </row>
    <row r="16" spans="1:12" s="127" customFormat="1" ht="19.5" customHeight="1" thickBot="1" x14ac:dyDescent="0.25">
      <c r="A16" s="580">
        <v>807</v>
      </c>
      <c r="B16" s="680" t="s">
        <v>183</v>
      </c>
      <c r="C16" s="582">
        <f>+'ปัน ก.สนับ ให้ ก.หลัก- ต.5 ไม่'!E19</f>
        <v>2134170.8421284007</v>
      </c>
      <c r="D16" s="582">
        <f>+'ปัน ก.สนับ ให้ ก.หลัก- ต.5 ไม่'!H19</f>
        <v>817080.99960240431</v>
      </c>
      <c r="E16" s="582">
        <f>+'ปัน ก.สนับ ให้ ก.หลัก- ต.5 ไม่'!K19</f>
        <v>326862.85299533117</v>
      </c>
      <c r="F16" s="529">
        <f t="shared" si="2"/>
        <v>3278114.6947261365</v>
      </c>
      <c r="G16" s="530">
        <f>+'ข้อมูล ต.3-505,708,709ไป สนน.'!G18</f>
        <v>5</v>
      </c>
      <c r="H16" s="531" t="str">
        <f>+'ข้อมูล ต.3-505,708,709ไป สนน.'!H18</f>
        <v>เรื่อง</v>
      </c>
      <c r="I16" s="1468">
        <f t="shared" ref="I16:I49" si="3">+F16/G16</f>
        <v>655622.9389452273</v>
      </c>
      <c r="K16" s="127">
        <f>+'ปัน ก.สนับ ให้ ก.หลัก- ต.5 ไม่'!L18</f>
        <v>3278114.6947261365</v>
      </c>
    </row>
    <row r="17" spans="1:12" s="127" customFormat="1" ht="19.5" customHeight="1" x14ac:dyDescent="0.2">
      <c r="A17" s="178" t="s">
        <v>240</v>
      </c>
      <c r="B17" s="1469"/>
      <c r="C17" s="180">
        <f>SUM(C18:C22)</f>
        <v>15406294.129486185</v>
      </c>
      <c r="D17" s="180">
        <f>SUM(D18:D22)</f>
        <v>1516337.2783264038</v>
      </c>
      <c r="E17" s="180">
        <f>SUM(E18:E22)</f>
        <v>441917.49274920451</v>
      </c>
      <c r="F17" s="180">
        <f t="shared" si="2"/>
        <v>17364548.900561791</v>
      </c>
      <c r="G17" s="1470"/>
      <c r="H17" s="1471"/>
      <c r="I17" s="1472"/>
      <c r="J17" s="1473"/>
      <c r="K17" s="126"/>
      <c r="L17" s="126"/>
    </row>
    <row r="18" spans="1:12" s="127" customFormat="1" ht="19.5" customHeight="1" x14ac:dyDescent="0.5">
      <c r="A18" s="128">
        <v>500</v>
      </c>
      <c r="B18" s="519" t="s">
        <v>45</v>
      </c>
      <c r="C18" s="1027">
        <f>+'ปัน ก.สนับ ให้ ก.หลัก- ต.5 ไม่'!E22</f>
        <v>2811807.8691840139</v>
      </c>
      <c r="D18" s="1027">
        <f>+'ปัน ก.สนับ ให้ ก.หลัก- ต.5 ไม่'!H22</f>
        <v>276747.22134345281</v>
      </c>
      <c r="E18" s="1027">
        <f>+'ปัน ก.สนับ ให้ ก.หลัก- ต.5 ไม่'!K22</f>
        <v>80654.508683180902</v>
      </c>
      <c r="F18" s="160">
        <f t="shared" si="2"/>
        <v>3169209.5992106474</v>
      </c>
      <c r="G18" s="161">
        <f>+'ข้อมูล ต.3-505,708,709ไป สนน.'!G20</f>
        <v>1</v>
      </c>
      <c r="H18" s="1474" t="str">
        <f>+'ข้อมูล ต.3-505,708,709ไป สนน.'!H20</f>
        <v>เรื่อง</v>
      </c>
      <c r="I18" s="107">
        <f t="shared" si="3"/>
        <v>3169209.5992106474</v>
      </c>
      <c r="J18" s="559"/>
      <c r="K18" s="254">
        <v>1</v>
      </c>
      <c r="L18" s="255" t="s">
        <v>1</v>
      </c>
    </row>
    <row r="19" spans="1:12" s="127" customFormat="1" ht="19.5" customHeight="1" x14ac:dyDescent="0.5">
      <c r="A19" s="128">
        <v>501</v>
      </c>
      <c r="B19" s="519" t="s">
        <v>46</v>
      </c>
      <c r="C19" s="1027">
        <f>+'ปัน ก.สนับ ให้ ก.หลัก- ต.5 ไม่'!E23</f>
        <v>2248776.019335486</v>
      </c>
      <c r="D19" s="1027">
        <f>+'ปัน ก.สนับ ให้ ก.หลัก- ต.5 ไม่'!H23</f>
        <v>221331.80634261842</v>
      </c>
      <c r="E19" s="1027">
        <f>+'ปัน ก.สนับ ให้ ก.หลัก- ต.5 ไม่'!K23</f>
        <v>64504.380603592843</v>
      </c>
      <c r="F19" s="160">
        <f t="shared" si="2"/>
        <v>2534612.2062816974</v>
      </c>
      <c r="G19" s="161">
        <f>+'ข้อมูล ต.3-505,708,709ไป สนน.'!G21</f>
        <v>1</v>
      </c>
      <c r="H19" s="1474" t="str">
        <f>+'ข้อมูล ต.3-505,708,709ไป สนน.'!H21</f>
        <v>เรื่อง</v>
      </c>
      <c r="I19" s="107">
        <f t="shared" si="3"/>
        <v>2534612.2062816974</v>
      </c>
      <c r="J19" s="559"/>
      <c r="K19" s="254">
        <v>1</v>
      </c>
      <c r="L19" s="255" t="s">
        <v>1</v>
      </c>
    </row>
    <row r="20" spans="1:12" s="127" customFormat="1" ht="19.5" customHeight="1" x14ac:dyDescent="0.5">
      <c r="A20" s="128">
        <v>502</v>
      </c>
      <c r="B20" s="519" t="s">
        <v>47</v>
      </c>
      <c r="C20" s="1027">
        <f>+'ปัน ก.สนับ ให้ ก.หลัก- ต.5 ไม่'!E24</f>
        <v>3036350.3331117001</v>
      </c>
      <c r="D20" s="1027">
        <f>+'ปัน ก.สนับ ให้ ก.หลัก- ต.5 ไม่'!H24</f>
        <v>298847.41661164281</v>
      </c>
      <c r="E20" s="1027">
        <f>+'ปัน ก.สนับ ให้ ก.หลัก- ต.5 ไม่'!K24</f>
        <v>87095.33357206425</v>
      </c>
      <c r="F20" s="160">
        <f t="shared" si="2"/>
        <v>3422293.0832954072</v>
      </c>
      <c r="G20" s="161">
        <f>+'ข้อมูล ต.3-505,708,709ไป สนน.'!G22</f>
        <v>1</v>
      </c>
      <c r="H20" s="1474" t="str">
        <f>+'ข้อมูล ต.3-505,708,709ไป สนน.'!H22</f>
        <v>เรื่อง</v>
      </c>
      <c r="I20" s="107">
        <f t="shared" si="3"/>
        <v>3422293.0832954072</v>
      </c>
      <c r="J20" s="559"/>
      <c r="K20" s="566">
        <v>1</v>
      </c>
      <c r="L20" s="255" t="s">
        <v>1</v>
      </c>
    </row>
    <row r="21" spans="1:12" s="127" customFormat="1" ht="19.5" customHeight="1" x14ac:dyDescent="0.5">
      <c r="A21" s="128">
        <v>503</v>
      </c>
      <c r="B21" s="519" t="s">
        <v>178</v>
      </c>
      <c r="C21" s="1027">
        <f>+'ปัน ก.สนับ ให้ ก.หลัก- ต.5 ไม่'!E25</f>
        <v>3373164.0290032295</v>
      </c>
      <c r="D21" s="1027">
        <f>+'ปัน ก.สนับ ให้ ก.หลัก- ต.5 ไม่'!H25</f>
        <v>331997.70951392764</v>
      </c>
      <c r="E21" s="1027">
        <f>+'ปัน ก.สนับ ให้ ก.หลัก- ต.5 ไม่'!K25</f>
        <v>96756.570905389235</v>
      </c>
      <c r="F21" s="160">
        <f t="shared" si="2"/>
        <v>3801918.3094225465</v>
      </c>
      <c r="G21" s="161">
        <f>+'ข้อมูล ต.3-505,708,709ไป สนน.'!G23</f>
        <v>1</v>
      </c>
      <c r="H21" s="1474" t="str">
        <f>+'ข้อมูล ต.3-505,708,709ไป สนน.'!H23</f>
        <v>เรื่อง</v>
      </c>
      <c r="I21" s="107">
        <f t="shared" si="3"/>
        <v>3801918.3094225465</v>
      </c>
      <c r="J21" s="559"/>
      <c r="K21" s="566">
        <v>1</v>
      </c>
      <c r="L21" s="255" t="s">
        <v>1</v>
      </c>
    </row>
    <row r="22" spans="1:12" s="127" customFormat="1" ht="19.5" customHeight="1" thickBot="1" x14ac:dyDescent="0.55000000000000004">
      <c r="A22" s="128">
        <v>504</v>
      </c>
      <c r="B22" s="519" t="s">
        <v>179</v>
      </c>
      <c r="C22" s="1027">
        <f>+'ปัน ก.สนับ ให้ ก.หลัก- ต.5 ไม่'!E26</f>
        <v>3936195.8788517565</v>
      </c>
      <c r="D22" s="1027">
        <f>+'ปัน ก.สนับ ให้ ก.หลัก- ต.5 ไม่'!H26</f>
        <v>387413.12451476208</v>
      </c>
      <c r="E22" s="1027">
        <f>+'ปัน ก.สนับ ให้ ก.หลัก- ต.5 ไม่'!K26</f>
        <v>112906.69898497732</v>
      </c>
      <c r="F22" s="160">
        <f t="shared" si="2"/>
        <v>4436515.7023514956</v>
      </c>
      <c r="G22" s="161">
        <f>+'ข้อมูล ต.3-505,708,709ไป สนน.'!G24</f>
        <v>1</v>
      </c>
      <c r="H22" s="1474" t="str">
        <f>+'ข้อมูล ต.3-505,708,709ไป สนน.'!H24</f>
        <v>เรื่อง</v>
      </c>
      <c r="I22" s="107">
        <f t="shared" si="3"/>
        <v>4436515.7023514956</v>
      </c>
      <c r="J22" s="559">
        <v>87829252.241887122</v>
      </c>
      <c r="K22" s="254">
        <v>1</v>
      </c>
      <c r="L22" s="255" t="s">
        <v>1</v>
      </c>
    </row>
    <row r="23" spans="1:12" s="127" customFormat="1" ht="19.5" customHeight="1" x14ac:dyDescent="0.2">
      <c r="A23" s="173" t="s">
        <v>91</v>
      </c>
      <c r="B23" s="1475"/>
      <c r="C23" s="151">
        <f>SUM(C24:C25)</f>
        <v>79910661.557936937</v>
      </c>
      <c r="D23" s="151">
        <f>SUM(D24:D25)</f>
        <v>5794929.3491829857</v>
      </c>
      <c r="E23" s="151">
        <f>SUM(E24:E25)</f>
        <v>2123661.3347671945</v>
      </c>
      <c r="F23" s="151">
        <f t="shared" si="2"/>
        <v>87829252.241887122</v>
      </c>
      <c r="G23" s="1465"/>
      <c r="H23" s="1466"/>
      <c r="I23" s="1467"/>
      <c r="K23" s="126">
        <f>+'ปัน ก.สนับ ให้ ก.หลัก- ต.5 ไม่'!L28</f>
        <v>87829252.241887122</v>
      </c>
      <c r="L23" s="126"/>
    </row>
    <row r="24" spans="1:12" s="127" customFormat="1" ht="19.5" customHeight="1" x14ac:dyDescent="0.2">
      <c r="A24" s="133">
        <v>1</v>
      </c>
      <c r="B24" s="515" t="s">
        <v>527</v>
      </c>
      <c r="C24" s="103">
        <f>+'ปัน ก.สนับ ให้ ก.หลัก- ต.5 ไม่'!E29+'ปัน ก.สนับ ให้ ก.หลัก- ต.5 ไม่'!E31+'ปัน ก.สนับ ให้ ก.หลัก- ต.5 ไม่'!E33+'ปัน ก.สนับ ให้ ก.หลัก- ต.5 ไม่'!E35+'ปัน ก.สนับ ให้ ก.หลัก- ต.5 ไม่'!E37+'ปัน ก.สนับ ให้ ก.หลัก- ต.5 ไม่'!E39+'ปัน ก.สนับ ให้ ก.หลัก- ต.5 ไม่'!E41+'ปัน ก.สนับ ให้ ก.หลัก- ต.5 ไม่'!E42</f>
        <v>52860902.620575279</v>
      </c>
      <c r="D24" s="103">
        <f>+'ปัน ก.สนับ ให้ ก.หลัก- ต.5 ไม่'!H29+'ปัน ก.สนับ ให้ ก.หลัก- ต.5 ไม่'!H31+'ปัน ก.สนับ ให้ ก.หลัก- ต.5 ไม่'!H33+'ปัน ก.สนับ ให้ ก.หลัก- ต.5 ไม่'!H35+'ปัน ก.สนับ ให้ ก.หลัก- ต.5 ไม่'!H37+'ปัน ก.สนับ ให้ ก.หลัก- ต.5 ไม่'!H39+'ปัน ก.สนับ ให้ ก.หลัก- ต.5 ไม่'!H41+'ปัน ก.สนับ ให้ ก.หลัก- ต.5 ไม่'!H42</f>
        <v>3833345.7644845448</v>
      </c>
      <c r="E24" s="103">
        <f>+'ปัน ก.สนับ ให้ ก.หลัก- ต.5 ไม่'!K29+'ปัน ก.สนับ ให้ ก.หลัก- ต.5 ไม่'!K31+'ปัน ก.สนับ ให้ ก.หลัก- ต.5 ไม่'!K33+'ปัน ก.สนับ ให้ ก.หลัก- ต.5 ไม่'!K35+'ปัน ก.สนับ ให้ ก.หลัก- ต.5 ไม่'!K37+'ปัน ก.สนับ ให้ ก.หลัก- ต.5 ไม่'!K39+'ปัน ก.สนับ ให้ ก.หลัก- ต.5 ไม่'!K41+'ปัน ก.สนับ ให้ ก.หลัก- ต.5 ไม่'!K42</f>
        <v>1404801.972948499</v>
      </c>
      <c r="F24" s="192">
        <f t="shared" si="2"/>
        <v>58099050.358008325</v>
      </c>
      <c r="G24" s="482">
        <v>28</v>
      </c>
      <c r="H24" s="194" t="s">
        <v>7</v>
      </c>
      <c r="I24" s="518">
        <f t="shared" si="3"/>
        <v>2074966.084214583</v>
      </c>
      <c r="J24" s="1476" t="s">
        <v>412</v>
      </c>
      <c r="L24" s="102"/>
    </row>
    <row r="25" spans="1:12" s="127" customFormat="1" ht="19.5" customHeight="1" thickBot="1" x14ac:dyDescent="0.25">
      <c r="A25" s="187">
        <v>2</v>
      </c>
      <c r="B25" s="536" t="s">
        <v>44</v>
      </c>
      <c r="C25" s="167">
        <f>+'ปัน ก.สนับ ให้ ก.หลัก- ต.5 ไม่'!E30+'ปัน ก.สนับ ให้ ก.หลัก- ต.5 ไม่'!E32+'ปัน ก.สนับ ให้ ก.หลัก- ต.5 ไม่'!E34+'ปัน ก.สนับ ให้ ก.หลัก- ต.5 ไม่'!E36+'ปัน ก.สนับ ให้ ก.หลัก- ต.5 ไม่'!E38+'ปัน ก.สนับ ให้ ก.หลัก- ต.5 ไม่'!E40</f>
        <v>27049758.93736165</v>
      </c>
      <c r="D25" s="167">
        <f>+'ปัน ก.สนับ ให้ ก.หลัก- ต.5 ไม่'!H30+'ปัน ก.สนับ ให้ ก.หลัก- ต.5 ไม่'!H32+'ปัน ก.สนับ ให้ ก.หลัก- ต.5 ไม่'!H34+'ปัน ก.สนับ ให้ ก.หลัก- ต.5 ไม่'!H36+'ปัน ก.สนับ ให้ ก.หลัก- ต.5 ไม่'!H38+'ปัน ก.สนับ ให้ ก.หลัก- ต.5 ไม่'!H40</f>
        <v>1961583.584698441</v>
      </c>
      <c r="E25" s="167">
        <f>+'ปัน ก.สนับ ให้ ก.หลัก- ต.5 ไม่'!K30+'ปัน ก.สนับ ให้ ก.หลัก- ต.5 ไม่'!K32+'ปัน ก.สนับ ให้ ก.หลัก- ต.5 ไม่'!K34+'ปัน ก.สนับ ให้ ก.หลัก- ต.5 ไม่'!K36+'ปัน ก.สนับ ให้ ก.หลัก- ต.5 ไม่'!K38+'ปัน ก.สนับ ให้ ก.หลัก- ต.5 ไม่'!K40</f>
        <v>718859.36181869521</v>
      </c>
      <c r="F25" s="168">
        <f t="shared" si="2"/>
        <v>29730201.883878786</v>
      </c>
      <c r="G25" s="253">
        <v>13</v>
      </c>
      <c r="H25" s="189" t="s">
        <v>1</v>
      </c>
      <c r="I25" s="700">
        <f t="shared" si="3"/>
        <v>2286938.6064522145</v>
      </c>
      <c r="J25" s="1476" t="s">
        <v>413</v>
      </c>
    </row>
    <row r="26" spans="1:12" s="126" customFormat="1" ht="19.5" customHeight="1" x14ac:dyDescent="0.2">
      <c r="A26" s="173" t="s">
        <v>92</v>
      </c>
      <c r="B26" s="174"/>
      <c r="C26" s="151">
        <f>SUM(C27:C36)</f>
        <v>93910853.798626482</v>
      </c>
      <c r="D26" s="151">
        <f>SUM(D27:D36)</f>
        <v>5091844.5508918548</v>
      </c>
      <c r="E26" s="151">
        <f>SUM(E27:E36)</f>
        <v>22572375.508047454</v>
      </c>
      <c r="F26" s="151">
        <f t="shared" si="2"/>
        <v>121575073.85756579</v>
      </c>
      <c r="G26" s="565"/>
      <c r="H26" s="153"/>
      <c r="I26" s="154"/>
      <c r="K26" s="259">
        <f>+'ปัน ก.สนับ ให้ ก.หลัก- ต.5 ไม่'!L43</f>
        <v>121575073.85756579</v>
      </c>
    </row>
    <row r="27" spans="1:12" s="127" customFormat="1" ht="19.5" customHeight="1" x14ac:dyDescent="0.2">
      <c r="A27" s="133">
        <v>700</v>
      </c>
      <c r="B27" s="515" t="s">
        <v>170</v>
      </c>
      <c r="C27" s="103">
        <f>+'ปัน ก.สนับ ให้ ก.หลัก- ต.5 ไม่'!E44</f>
        <v>32814498.183496248</v>
      </c>
      <c r="D27" s="103">
        <f>+'ปัน ก.สนับ ให้ ก.หลัก- ต.5 ไม่'!H44</f>
        <v>1779201.412907714</v>
      </c>
      <c r="E27" s="103">
        <f>+'ปัน ก.สนับ ให้ ก.หลัก- ต.5 ไม่'!K44</f>
        <v>7887279.7461122805</v>
      </c>
      <c r="F27" s="192">
        <f t="shared" si="2"/>
        <v>42480979.342516243</v>
      </c>
      <c r="G27" s="482">
        <f>+'ข้อมูล ต.3-505,708,709ไป สนน.'!G42</f>
        <v>50</v>
      </c>
      <c r="H27" s="482" t="str">
        <f>+'ข้อมูล ต.3-505,708,709ไป สนน.'!H42</f>
        <v>สินค้า</v>
      </c>
      <c r="I27" s="518">
        <f t="shared" si="3"/>
        <v>849619.58685032488</v>
      </c>
      <c r="K27" s="254">
        <v>50</v>
      </c>
      <c r="L27" s="255" t="s">
        <v>7</v>
      </c>
    </row>
    <row r="28" spans="1:12" s="127" customFormat="1" ht="19.5" customHeight="1" x14ac:dyDescent="0.2">
      <c r="A28" s="128">
        <v>701</v>
      </c>
      <c r="B28" s="519" t="s">
        <v>171</v>
      </c>
      <c r="C28" s="106">
        <f>+'ปัน ก.สนับ ให้ ก.หลัก- ต.5 ไม่'!E45</f>
        <v>1788344.6295008855</v>
      </c>
      <c r="D28" s="106">
        <f>+'ปัน ก.สนับ ให้ ก.หลัก- ต.5 ไม่'!H45</f>
        <v>96964.008828700229</v>
      </c>
      <c r="E28" s="106">
        <f>+'ปัน ก.สนับ ให้ ก.หลัก- ต.5 ไม่'!K45</f>
        <v>429845.80463354674</v>
      </c>
      <c r="F28" s="160">
        <f t="shared" si="2"/>
        <v>2315154.4429631326</v>
      </c>
      <c r="G28" s="234">
        <f>+'ข้อมูล ต.3-505,708,709ไป สนน.'!G43</f>
        <v>10</v>
      </c>
      <c r="H28" s="234" t="str">
        <f>+'ข้อมูล ต.3-505,708,709ไป สนน.'!H43</f>
        <v>ครั้ง</v>
      </c>
      <c r="I28" s="107">
        <f t="shared" si="3"/>
        <v>231515.44429631328</v>
      </c>
      <c r="K28" s="254">
        <v>10</v>
      </c>
      <c r="L28" s="255" t="s">
        <v>28</v>
      </c>
    </row>
    <row r="29" spans="1:12" s="127" customFormat="1" ht="19.5" customHeight="1" x14ac:dyDescent="0.2">
      <c r="A29" s="128">
        <v>702</v>
      </c>
      <c r="B29" s="519" t="s">
        <v>172</v>
      </c>
      <c r="C29" s="106">
        <f>+'ปัน ก.สนับ ให้ ก.หลัก- ต.5 ไม่'!E46</f>
        <v>617791.78110030596</v>
      </c>
      <c r="D29" s="106">
        <f>+'ปัน ก.สนับ ให้ ก.หลัก- ต.5 ไม่'!H46</f>
        <v>33496.657595369172</v>
      </c>
      <c r="E29" s="106">
        <f>+'ปัน ก.สนับ ให้ ก.หลัก- ต.5 ไม่'!K46</f>
        <v>148492.18705522525</v>
      </c>
      <c r="F29" s="160">
        <f t="shared" si="2"/>
        <v>799780.62575090036</v>
      </c>
      <c r="G29" s="234">
        <f>+'ข้อมูล ต.3-505,708,709ไป สนน.'!G44</f>
        <v>10</v>
      </c>
      <c r="H29" s="234" t="str">
        <f>+'ข้อมูล ต.3-505,708,709ไป สนน.'!H44</f>
        <v>ครั้ง</v>
      </c>
      <c r="I29" s="107">
        <f t="shared" si="3"/>
        <v>79978.062575090036</v>
      </c>
      <c r="K29" s="254">
        <v>10</v>
      </c>
      <c r="L29" s="255" t="s">
        <v>28</v>
      </c>
    </row>
    <row r="30" spans="1:12" s="127" customFormat="1" ht="19.5" customHeight="1" x14ac:dyDescent="0.2">
      <c r="A30" s="128">
        <v>703</v>
      </c>
      <c r="B30" s="519" t="s">
        <v>507</v>
      </c>
      <c r="C30" s="106">
        <f>+'ปัน ก.สนับ ให้ ก.หลัก- ต.5 ไม่'!E47</f>
        <v>13038658.116906453</v>
      </c>
      <c r="D30" s="106">
        <f>+'ปัน ก.สนับ ให้ ก.หลัก- ต.5 ไม่'!H47</f>
        <v>706955.77346015978</v>
      </c>
      <c r="E30" s="106">
        <f>+'ปัน ก.สนับ ให้ ก.หลัก- ต.5 ไม่'!K47</f>
        <v>3133966.6846918589</v>
      </c>
      <c r="F30" s="160">
        <f t="shared" si="2"/>
        <v>16879580.575058471</v>
      </c>
      <c r="G30" s="234">
        <f>+'ข้อมูล ต.3-505,708,709ไป สนน.'!G45</f>
        <v>220</v>
      </c>
      <c r="H30" s="234" t="str">
        <f>+'ข้อมูล ต.3-505,708,709ไป สนน.'!H45</f>
        <v>สินค้า</v>
      </c>
      <c r="I30" s="107">
        <f t="shared" si="3"/>
        <v>76725.366250265783</v>
      </c>
      <c r="K30" s="254">
        <v>220</v>
      </c>
      <c r="L30" s="255" t="s">
        <v>7</v>
      </c>
    </row>
    <row r="31" spans="1:12" s="127" customFormat="1" ht="19.5" customHeight="1" x14ac:dyDescent="0.2">
      <c r="A31" s="128">
        <v>704</v>
      </c>
      <c r="B31" s="519" t="s">
        <v>174</v>
      </c>
      <c r="C31" s="106">
        <f>+'ปัน ก.สนับ ให้ ก.หลัก- ต.5 ไม่'!E48</f>
        <v>11575467.056405731</v>
      </c>
      <c r="D31" s="106">
        <f>+'ปัน ก.สนับ ให้ ก.หลัก- ต.5 ไม่'!H48</f>
        <v>627621.584418496</v>
      </c>
      <c r="E31" s="106">
        <f>+'ปัน ก.สนับ ให้ ก.หลัก- ต.5 ไม่'!K48</f>
        <v>2782274.6627189568</v>
      </c>
      <c r="F31" s="160">
        <f t="shared" si="2"/>
        <v>14985363.303543184</v>
      </c>
      <c r="G31" s="234">
        <f>+'ข้อมูล ต.3-505,708,709ไป สนน.'!G46</f>
        <v>6</v>
      </c>
      <c r="H31" s="234" t="str">
        <f>+'ข้อมูล ต.3-505,708,709ไป สนน.'!H46</f>
        <v>ครั้ง</v>
      </c>
      <c r="I31" s="107">
        <f t="shared" si="3"/>
        <v>2497560.5505905305</v>
      </c>
      <c r="K31" s="254">
        <v>6</v>
      </c>
      <c r="L31" s="255" t="s">
        <v>28</v>
      </c>
    </row>
    <row r="32" spans="1:12" s="127" customFormat="1" ht="19.5" customHeight="1" x14ac:dyDescent="0.2">
      <c r="A32" s="128">
        <v>705</v>
      </c>
      <c r="B32" s="519" t="s">
        <v>175</v>
      </c>
      <c r="C32" s="106">
        <f>+'ปัน ก.สนับ ให้ ก.หลัก- ต.5 ไม่'!E49</f>
        <v>11380374.915005635</v>
      </c>
      <c r="D32" s="106">
        <f>+'ปัน ก.สนับ ให้ ก.หลัก- ต.5 ไม่'!H49</f>
        <v>617043.69254627428</v>
      </c>
      <c r="E32" s="106">
        <f>+'ปัน ก.สนับ ให้ ก.หลัก- ต.5 ไม่'!K49</f>
        <v>2735382.3931225706</v>
      </c>
      <c r="F32" s="160">
        <f t="shared" si="2"/>
        <v>14732801.000674481</v>
      </c>
      <c r="G32" s="234">
        <f>+'ข้อมูล ต.3-505,708,709ไป สนน.'!G47</f>
        <v>77</v>
      </c>
      <c r="H32" s="234" t="str">
        <f>+'ข้อมูล ต.3-505,708,709ไป สนน.'!H47</f>
        <v>จังหวัด</v>
      </c>
      <c r="I32" s="107">
        <f t="shared" si="3"/>
        <v>191335.0779308374</v>
      </c>
      <c r="K32" s="254">
        <v>77</v>
      </c>
      <c r="L32" s="255" t="s">
        <v>8</v>
      </c>
    </row>
    <row r="33" spans="1:12" s="127" customFormat="1" ht="22.5" customHeight="1" x14ac:dyDescent="0.2">
      <c r="A33" s="128">
        <v>706</v>
      </c>
      <c r="B33" s="864" t="s">
        <v>485</v>
      </c>
      <c r="C33" s="106">
        <f>+'ปัน ก.สนับ ให้ ก.หลัก- ต.5 ไม่'!E50</f>
        <v>8323931.3664041217</v>
      </c>
      <c r="D33" s="106">
        <f>+'ปัน ก.สนับ ให้ ก.หลัก- ต.5 ไม่'!H50</f>
        <v>451323.386548132</v>
      </c>
      <c r="E33" s="106">
        <f>+'ปัน ก.สนับ ให้ ก.หลัก- ต.5 ไม่'!K50</f>
        <v>2000736.8361125086</v>
      </c>
      <c r="F33" s="160">
        <f t="shared" si="2"/>
        <v>10775991.589064762</v>
      </c>
      <c r="G33" s="234">
        <f>+'ข้อมูล ต.3-505,708,709ไป สนน.'!G48</f>
        <v>77</v>
      </c>
      <c r="H33" s="234" t="str">
        <f>+'ข้อมูล ต.3-505,708,709ไป สนน.'!H48</f>
        <v>จังหวัด</v>
      </c>
      <c r="I33" s="107">
        <f t="shared" si="3"/>
        <v>139947.94271512679</v>
      </c>
      <c r="K33" s="254">
        <v>77</v>
      </c>
      <c r="L33" s="255" t="s">
        <v>8</v>
      </c>
    </row>
    <row r="34" spans="1:12" s="127" customFormat="1" ht="19.5" customHeight="1" x14ac:dyDescent="0.2">
      <c r="A34" s="128">
        <v>707</v>
      </c>
      <c r="B34" s="519" t="s">
        <v>176</v>
      </c>
      <c r="C34" s="106">
        <f>+'ปัน ก.สนับ ให้ ก.หลัก- ต.5 ไม่'!E51</f>
        <v>11289331.915685592</v>
      </c>
      <c r="D34" s="106">
        <f>+'ปัน ก.สนับ ให้ ก.หลัก- ต.5 ไม่'!H51</f>
        <v>612107.34300590411</v>
      </c>
      <c r="E34" s="106">
        <f>+'ปัน ก.สนับ ให้ ก.หลัก- ต.5 ไม่'!K51</f>
        <v>2713499.3339775903</v>
      </c>
      <c r="F34" s="160">
        <f t="shared" si="2"/>
        <v>14614938.592669088</v>
      </c>
      <c r="G34" s="234">
        <f>+'ข้อมูล ต.3-505,708,709ไป สนน.'!G49</f>
        <v>15</v>
      </c>
      <c r="H34" s="234" t="str">
        <f>+'ข้อมูล ต.3-505,708,709ไป สนน.'!H49</f>
        <v>เล่ม</v>
      </c>
      <c r="I34" s="107">
        <f t="shared" si="3"/>
        <v>974329.23951127252</v>
      </c>
      <c r="K34" s="254">
        <v>15</v>
      </c>
      <c r="L34" s="255" t="s">
        <v>9</v>
      </c>
    </row>
    <row r="35" spans="1:12" s="127" customFormat="1" x14ac:dyDescent="0.2">
      <c r="A35" s="1023">
        <v>506</v>
      </c>
      <c r="B35" s="519" t="s">
        <v>535</v>
      </c>
      <c r="C35" s="106">
        <f>+'ปัน ก.สนับ ให้ ก.หลัก- ต.5 ไม่'!E52</f>
        <v>1424172.632220705</v>
      </c>
      <c r="D35" s="106">
        <f>+'ปัน ก.สนับ ให้ ก.หลัก- ต.5 ไม่'!H52</f>
        <v>77218.610667219458</v>
      </c>
      <c r="E35" s="106">
        <f>+'ปัน ก.สนับ ให้ ก.หลัก- ต.5 ไม่'!K52</f>
        <v>342313.56805362453</v>
      </c>
      <c r="F35" s="160">
        <f t="shared" si="2"/>
        <v>1843704.810941549</v>
      </c>
      <c r="G35" s="234">
        <f>+'ข้อมูล ต.3-505,708,709ไป สนน.'!G50</f>
        <v>882</v>
      </c>
      <c r="H35" s="234" t="str">
        <f>+'ข้อมูล ต.3-505,708,709ไป สนน.'!H50</f>
        <v>ศูนย์</v>
      </c>
      <c r="I35" s="107">
        <f t="shared" si="3"/>
        <v>2090.3682663736386</v>
      </c>
      <c r="K35" s="254">
        <v>4</v>
      </c>
      <c r="L35" s="255" t="s">
        <v>1</v>
      </c>
    </row>
    <row r="36" spans="1:12" s="127" customFormat="1" ht="26.25" customHeight="1" thickBot="1" x14ac:dyDescent="0.55000000000000004">
      <c r="A36" s="1477">
        <v>710</v>
      </c>
      <c r="B36" s="1478" t="s">
        <v>221</v>
      </c>
      <c r="C36" s="167">
        <f>+'ปัน ก.สนับ ให้ ก.หลัก- ต.5 ไม่'!E53</f>
        <v>1658283.2019008209</v>
      </c>
      <c r="D36" s="167">
        <f>+'ปัน ก.สนับ ให้ ก.หลัก- ต.5 ไม่'!H53</f>
        <v>89912.080913885657</v>
      </c>
      <c r="E36" s="167">
        <f>+'ปัน ก.สนับ ให้ ก.หลัก- ต.5 ไม่'!K53</f>
        <v>398584.29156928882</v>
      </c>
      <c r="F36" s="168">
        <f>SUM(C36:E36)</f>
        <v>2146779.5743839955</v>
      </c>
      <c r="G36" s="253">
        <f>+'ข้อมูล ต.3-505,708,709ไป สนน.'!G51</f>
        <v>1</v>
      </c>
      <c r="H36" s="1479" t="str">
        <f>+'ข้อมูล ต.3-505,708,709ไป สนน.'!H51</f>
        <v>ระบบ</v>
      </c>
      <c r="I36" s="700">
        <f>+F36/G36</f>
        <v>2146779.5743839955</v>
      </c>
      <c r="K36" s="262"/>
      <c r="L36" s="263"/>
    </row>
    <row r="37" spans="1:12" s="126" customFormat="1" x14ac:dyDescent="0.2">
      <c r="A37" s="1480" t="s">
        <v>93</v>
      </c>
      <c r="B37" s="1481"/>
      <c r="C37" s="1482">
        <f>SUM(C38:C44)</f>
        <v>56922040.476996183</v>
      </c>
      <c r="D37" s="1482">
        <f>SUM(D38:D44)</f>
        <v>4033079.7227274375</v>
      </c>
      <c r="E37" s="1482">
        <f>SUM(E38:E44)</f>
        <v>1975644.4350408593</v>
      </c>
      <c r="F37" s="1482">
        <f t="shared" si="2"/>
        <v>62930764.634764485</v>
      </c>
      <c r="G37" s="1483"/>
      <c r="H37" s="1484"/>
      <c r="I37" s="1482"/>
      <c r="J37" s="1473"/>
      <c r="K37" s="126">
        <f>+'ปัน ก.สนับ ให้ ก.หลัก- ต.5 ไม่'!L55</f>
        <v>62930764.634764485</v>
      </c>
    </row>
    <row r="38" spans="1:12" s="127" customFormat="1" x14ac:dyDescent="0.2">
      <c r="A38" s="133">
        <v>600</v>
      </c>
      <c r="B38" s="1485" t="s">
        <v>48</v>
      </c>
      <c r="C38" s="103">
        <f>+'ปัน ก.สนับ ให้ ก.หลัก- ต.5 ไม่'!E56</f>
        <v>23497418.308904029</v>
      </c>
      <c r="D38" s="103">
        <f>+'ปัน ก.สนับ ให้ ก.หลัก- ต.5 ไม่'!H56</f>
        <v>1664855.3095418862</v>
      </c>
      <c r="E38" s="103">
        <f>+'ปัน ก.สนับ ให้ ก.หลัก- ต.5 ไม่'!K56</f>
        <v>815546.02278486686</v>
      </c>
      <c r="F38" s="192">
        <f t="shared" si="2"/>
        <v>25977819.641230781</v>
      </c>
      <c r="G38" s="193">
        <f>+'ข้อมูล ต.3-505,708,709ไป สนน.'!G53</f>
        <v>21</v>
      </c>
      <c r="H38" s="193" t="str">
        <f>+'ข้อมูล ต.3-505,708,709ไป สนน.'!H53</f>
        <v>เรื่อง</v>
      </c>
      <c r="I38" s="518">
        <f t="shared" si="3"/>
        <v>1237039.030534799</v>
      </c>
      <c r="J38" s="1486">
        <v>23</v>
      </c>
      <c r="K38" s="254">
        <v>17</v>
      </c>
      <c r="L38" s="255" t="s">
        <v>1</v>
      </c>
    </row>
    <row r="39" spans="1:12" s="127" customFormat="1" x14ac:dyDescent="0.2">
      <c r="A39" s="128">
        <v>601</v>
      </c>
      <c r="B39" s="257" t="s">
        <v>49</v>
      </c>
      <c r="C39" s="106">
        <f>+'ปัน ก.สนับ ให้ ก.หลัก- ต.5 ไม่'!E57</f>
        <v>16336625.616897907</v>
      </c>
      <c r="D39" s="106">
        <f>+'ปัน ก.สนับ ให้ ก.หลัก- ต.5 ไม่'!H57</f>
        <v>1157493.8804227747</v>
      </c>
      <c r="E39" s="106">
        <f>+'ปัน ก.สนับ ให้ ก.หลัก- ต.5 ไม่'!K57</f>
        <v>567009.9528567266</v>
      </c>
      <c r="F39" s="160">
        <f t="shared" si="2"/>
        <v>18061129.450177409</v>
      </c>
      <c r="G39" s="161">
        <f>+'ข้อมูล ต.3-505,708,709ไป สนน.'!G54</f>
        <v>10</v>
      </c>
      <c r="H39" s="161" t="str">
        <f>+'ข้อมูล ต.3-505,708,709ไป สนน.'!H54</f>
        <v>เรื่อง</v>
      </c>
      <c r="I39" s="107">
        <f t="shared" si="3"/>
        <v>1806112.9450177408</v>
      </c>
      <c r="J39" s="1486">
        <v>6</v>
      </c>
      <c r="K39" s="254">
        <v>8</v>
      </c>
      <c r="L39" s="255" t="s">
        <v>1</v>
      </c>
    </row>
    <row r="40" spans="1:12" s="127" customFormat="1" x14ac:dyDescent="0.2">
      <c r="A40" s="128">
        <v>602</v>
      </c>
      <c r="B40" s="257" t="s">
        <v>50</v>
      </c>
      <c r="C40" s="106">
        <f>+'ปัน ก.สนับ ให้ ก.หลัก- ต.5 ไม่'!E58</f>
        <v>5111599.2348342575</v>
      </c>
      <c r="D40" s="106">
        <f>+'ปัน ก.สนับ ให้ ก.หลัก- ต.5 ไม่'!H58</f>
        <v>362170.55910092394</v>
      </c>
      <c r="E40" s="106">
        <f>+'ปัน ก.สนับ ให้ ก.หลัก- ต.5 ไม่'!K58</f>
        <v>177412.8702666692</v>
      </c>
      <c r="F40" s="160">
        <f t="shared" si="2"/>
        <v>5651182.664201851</v>
      </c>
      <c r="G40" s="161">
        <f>+'ข้อมูล ต.3-505,708,709ไป สนน.'!G55</f>
        <v>3</v>
      </c>
      <c r="H40" s="161" t="str">
        <f>+'ข้อมูล ต.3-505,708,709ไป สนน.'!H55</f>
        <v>เรื่อง</v>
      </c>
      <c r="I40" s="107">
        <f t="shared" si="3"/>
        <v>1883727.5547339504</v>
      </c>
      <c r="J40" s="1486">
        <v>3</v>
      </c>
      <c r="K40" s="254">
        <v>3</v>
      </c>
      <c r="L40" s="255" t="s">
        <v>1</v>
      </c>
    </row>
    <row r="41" spans="1:12" s="127" customFormat="1" ht="22.5" thickBot="1" x14ac:dyDescent="0.55000000000000004">
      <c r="A41" s="464">
        <v>603</v>
      </c>
      <c r="B41" s="1487" t="s">
        <v>209</v>
      </c>
      <c r="C41" s="106">
        <f>+'ปัน ก.สนับ ให้ ก.หลัก- ต.5 ไม่'!E59</f>
        <v>5100214.8267388595</v>
      </c>
      <c r="D41" s="106">
        <f>+'ปัน ก.สนับ ให้ ก.หลัก- ต.5 ไม่'!H59</f>
        <v>361363.94315637846</v>
      </c>
      <c r="E41" s="106">
        <f>+'ปัน ก.สนับ ให้ ก.หลัก- ต.5 ไม่'!K59</f>
        <v>177017.74137966102</v>
      </c>
      <c r="F41" s="160">
        <f t="shared" si="2"/>
        <v>5638596.5112748984</v>
      </c>
      <c r="G41" s="161">
        <f>+'ข้อมูล ต.3-505,708,709ไป สนน.'!G56</f>
        <v>3</v>
      </c>
      <c r="H41" s="161" t="str">
        <f>+'ข้อมูล ต.3-505,708,709ไป สนน.'!H56</f>
        <v>เรื่อง</v>
      </c>
      <c r="I41" s="107">
        <f t="shared" si="3"/>
        <v>1879532.1704249661</v>
      </c>
      <c r="J41" s="1486">
        <v>8</v>
      </c>
      <c r="K41" s="260">
        <v>12</v>
      </c>
      <c r="L41" s="261" t="s">
        <v>1</v>
      </c>
    </row>
    <row r="42" spans="1:12" s="127" customFormat="1" x14ac:dyDescent="0.5">
      <c r="A42" s="303">
        <v>604</v>
      </c>
      <c r="B42" s="1462" t="s">
        <v>585</v>
      </c>
      <c r="C42" s="106">
        <f>+'ปัน ก.สนับ ให้ ก.หลัก- ต.5 ไม่'!E60</f>
        <v>4565147.6462550946</v>
      </c>
      <c r="D42" s="106">
        <f>+'ปัน ก.สนับ ให้ ก.หลัก- ต.5 ไม่'!H60</f>
        <v>323452.99376274052</v>
      </c>
      <c r="E42" s="106">
        <f>+'ปัน ก.สนับ ให้ ก.หลัก- ต.5 ไม่'!K60</f>
        <v>158446.68369027693</v>
      </c>
      <c r="F42" s="160">
        <f>SUM(C42:E42)</f>
        <v>5047047.3237081124</v>
      </c>
      <c r="G42" s="161">
        <f>+'[3]ตารางที่3 จาก ต.2-สูตร-ปี61ไม่'!I60</f>
        <v>1</v>
      </c>
      <c r="H42" s="161" t="str">
        <f>+'[3]ตารางที่3 จาก ต.2-สูตร-ปี61ไม่'!J60</f>
        <v>เรื่อง</v>
      </c>
      <c r="I42" s="107">
        <f t="shared" si="3"/>
        <v>5047047.3237081124</v>
      </c>
      <c r="J42" s="1486"/>
      <c r="K42" s="262"/>
      <c r="L42" s="263"/>
    </row>
    <row r="43" spans="1:12" s="127" customFormat="1" x14ac:dyDescent="0.5">
      <c r="A43" s="303">
        <v>605</v>
      </c>
      <c r="B43" s="1462" t="s">
        <v>586</v>
      </c>
      <c r="C43" s="106">
        <f>+'ปัน ก.สนับ ให้ ก.หลัก- ต.5 ไม่'!E61</f>
        <v>1155517.4216830228</v>
      </c>
      <c r="D43" s="106">
        <f>+'ปัน ก.สนับ ให้ ก.หลัก- ต.5 ไม่'!H61</f>
        <v>81871.518371366983</v>
      </c>
      <c r="E43" s="106">
        <f>+'ปัน ก.สนับ ให้ ก.หลัก- ต.5 ไม่'!K61</f>
        <v>40105.582031329439</v>
      </c>
      <c r="F43" s="160">
        <f>SUM(C43:E43)</f>
        <v>1277494.522085719</v>
      </c>
      <c r="G43" s="161">
        <f>+'[3]ตารางที่3 จาก ต.2-สูตร-ปี61ไม่'!I61</f>
        <v>1</v>
      </c>
      <c r="H43" s="161" t="str">
        <f>+'[3]ตารางที่3 จาก ต.2-สูตร-ปี61ไม่'!J61</f>
        <v>เรื่อง</v>
      </c>
      <c r="I43" s="107">
        <f t="shared" si="3"/>
        <v>1277494.522085719</v>
      </c>
      <c r="J43" s="1486"/>
      <c r="K43" s="262"/>
      <c r="L43" s="263"/>
    </row>
    <row r="44" spans="1:12" s="127" customFormat="1" ht="22.5" thickBot="1" x14ac:dyDescent="0.55000000000000004">
      <c r="A44" s="1488">
        <v>606</v>
      </c>
      <c r="B44" s="1489" t="s">
        <v>587</v>
      </c>
      <c r="C44" s="203">
        <f>+'ปัน ก.สนับ ให้ ก.หลัก- ต.5 ไม่'!E62</f>
        <v>1155517.4216830228</v>
      </c>
      <c r="D44" s="203">
        <f>+'ปัน ก.สนับ ให้ ก.หลัก- ต.5 ไม่'!H62</f>
        <v>81871.518371366983</v>
      </c>
      <c r="E44" s="203">
        <f>+'ปัน ก.สนับ ให้ ก.หลัก- ต.5 ไม่'!K62</f>
        <v>40105.582031329439</v>
      </c>
      <c r="F44" s="204">
        <f>SUM(C44:E44)</f>
        <v>1277494.522085719</v>
      </c>
      <c r="G44" s="205">
        <f>+'[3]ตารางที่3 จาก ต.2-สูตร-ปี61ไม่'!I62</f>
        <v>1</v>
      </c>
      <c r="H44" s="205" t="str">
        <f>+'[3]ตารางที่3 จาก ต.2-สูตร-ปี61ไม่'!J62</f>
        <v>เรื่อง</v>
      </c>
      <c r="I44" s="1490">
        <f t="shared" si="3"/>
        <v>1277494.522085719</v>
      </c>
      <c r="J44" s="1486"/>
      <c r="K44" s="262"/>
      <c r="L44" s="263"/>
    </row>
    <row r="45" spans="1:12" s="126" customFormat="1" x14ac:dyDescent="0.2">
      <c r="A45" s="173" t="s">
        <v>253</v>
      </c>
      <c r="B45" s="1491"/>
      <c r="C45" s="151">
        <f>SUM(C46:C49)</f>
        <v>269112732.21040344</v>
      </c>
      <c r="D45" s="151">
        <f>SUM(D46:D49)</f>
        <v>19272973.259043463</v>
      </c>
      <c r="E45" s="151">
        <f>SUM(E46:E49)</f>
        <v>14509626.761587029</v>
      </c>
      <c r="F45" s="151">
        <f t="shared" si="2"/>
        <v>302895332.23103392</v>
      </c>
      <c r="G45" s="565"/>
      <c r="H45" s="153"/>
      <c r="I45" s="154"/>
      <c r="J45" s="1473"/>
    </row>
    <row r="46" spans="1:12" s="127" customFormat="1" x14ac:dyDescent="0.2">
      <c r="A46" s="133">
        <v>400</v>
      </c>
      <c r="B46" s="1485" t="s">
        <v>51</v>
      </c>
      <c r="C46" s="103">
        <f>+'ปัน ก.สนับ ให้ ก.หลัก- ต.5 ไม่'!E65</f>
        <v>40366909.831560522</v>
      </c>
      <c r="D46" s="103">
        <f>+'ปัน ก.สนับ ให้ ก.หลัก- ต.5 ไม่'!H65</f>
        <v>2890945.9888565191</v>
      </c>
      <c r="E46" s="103">
        <f>+'ปัน ก.สนับ ให้ ก.หลัก- ต.5 ไม่'!K65</f>
        <v>2176444.0142380544</v>
      </c>
      <c r="F46" s="192">
        <f t="shared" si="2"/>
        <v>45434299.834655091</v>
      </c>
      <c r="G46" s="193">
        <f>+'ข้อมูล ต.3-505,708,709ไป สนน.'!G61</f>
        <v>18</v>
      </c>
      <c r="H46" s="193" t="str">
        <f>+'ข้อมูล ต.3-505,708,709ไป สนน.'!H61</f>
        <v>เรื่อง</v>
      </c>
      <c r="I46" s="518">
        <f t="shared" si="3"/>
        <v>2524127.7685919497</v>
      </c>
      <c r="J46" s="559"/>
    </row>
    <row r="47" spans="1:12" s="127" customFormat="1" x14ac:dyDescent="0.2">
      <c r="A47" s="128">
        <v>401</v>
      </c>
      <c r="B47" s="519" t="s">
        <v>52</v>
      </c>
      <c r="C47" s="106">
        <f>+'ปัน ก.สนับ ให้ ก.หลัก- ต.5 ไม่'!E66</f>
        <v>26911273.221040346</v>
      </c>
      <c r="D47" s="106">
        <f>+'ปัน ก.สนับ ให้ ก.หลัก- ต.5 ไม่'!H66</f>
        <v>1927297.3259043461</v>
      </c>
      <c r="E47" s="106">
        <f>+'ปัน ก.สนับ ให้ ก.หลัก- ต.5 ไม่'!K66</f>
        <v>1450962.6761587027</v>
      </c>
      <c r="F47" s="160">
        <f t="shared" si="2"/>
        <v>30289533.223103397</v>
      </c>
      <c r="G47" s="161">
        <f>+'ข้อมูล ต.3-505,708,709ไป สนน.'!G62</f>
        <v>12</v>
      </c>
      <c r="H47" s="161" t="str">
        <f>+'ข้อมูล ต.3-505,708,709ไป สนน.'!H62</f>
        <v>เรื่อง</v>
      </c>
      <c r="I47" s="107">
        <f t="shared" si="3"/>
        <v>2524127.7685919497</v>
      </c>
      <c r="J47" s="559"/>
    </row>
    <row r="48" spans="1:12" s="127" customFormat="1" x14ac:dyDescent="0.2">
      <c r="A48" s="128">
        <v>402</v>
      </c>
      <c r="B48" s="519" t="s">
        <v>53</v>
      </c>
      <c r="C48" s="106">
        <f>+'ปัน ก.สนับ ให้ ก.หลัก- ต.5 ไม่'!E67</f>
        <v>161467639.32624209</v>
      </c>
      <c r="D48" s="106">
        <f>+'ปัน ก.สนับ ให้ ก.หลัก- ต.5 ไม่'!H67</f>
        <v>11563783.955426076</v>
      </c>
      <c r="E48" s="106">
        <f>+'ปัน ก.สนับ ให้ ก.หลัก- ต.5 ไม่'!K67</f>
        <v>8705776.0569522176</v>
      </c>
      <c r="F48" s="160">
        <f t="shared" si="2"/>
        <v>181737199.33862036</v>
      </c>
      <c r="G48" s="161">
        <f>+'ข้อมูล ต.3-505,708,709ไป สนน.'!G63</f>
        <v>5</v>
      </c>
      <c r="H48" s="161" t="str">
        <f>+'ข้อมูล ต.3-505,708,709ไป สนน.'!H63</f>
        <v>ระบบ</v>
      </c>
      <c r="I48" s="107">
        <f t="shared" si="3"/>
        <v>36347439.867724076</v>
      </c>
      <c r="J48" s="559"/>
    </row>
    <row r="49" spans="1:10" s="127" customFormat="1" x14ac:dyDescent="0.2">
      <c r="A49" s="128">
        <v>403</v>
      </c>
      <c r="B49" s="519" t="s">
        <v>54</v>
      </c>
      <c r="C49" s="106">
        <f>+'ปัน ก.สนับ ให้ ก.หลัก- ต.5 ไม่'!E68</f>
        <v>40366909.831560522</v>
      </c>
      <c r="D49" s="106">
        <f>+'ปัน ก.สนับ ให้ ก.หลัก- ต.5 ไม่'!H68</f>
        <v>2890945.9888565191</v>
      </c>
      <c r="E49" s="106">
        <f>+'ปัน ก.สนับ ให้ ก.หลัก- ต.5 ไม่'!K68</f>
        <v>2176444.0142380544</v>
      </c>
      <c r="F49" s="160">
        <f t="shared" si="2"/>
        <v>45434299.834655091</v>
      </c>
      <c r="G49" s="161">
        <f>+'ข้อมูล ต.3-505,708,709ไป สนน.'!G64</f>
        <v>36</v>
      </c>
      <c r="H49" s="161" t="str">
        <f>+'ข้อมูล ต.3-505,708,709ไป สนน.'!H64</f>
        <v>เรื่อง</v>
      </c>
      <c r="I49" s="107">
        <f t="shared" si="3"/>
        <v>1262063.8842959749</v>
      </c>
      <c r="J49" s="559"/>
    </row>
    <row r="50" spans="1:10" s="127" customFormat="1" ht="22.5" thickBot="1" x14ac:dyDescent="0.25">
      <c r="A50" s="1516" t="s">
        <v>71</v>
      </c>
      <c r="B50" s="1517"/>
      <c r="C50" s="529">
        <f>+C45+C37+C26+C23+C17+C15+C4</f>
        <v>577020617.50999999</v>
      </c>
      <c r="D50" s="529">
        <f>+D45+D37+D26+D23+D17+D15+D4</f>
        <v>41360637.720000006</v>
      </c>
      <c r="E50" s="529">
        <f>+E45+E37+E26+E23+E17+E15+E4</f>
        <v>43873491.26000002</v>
      </c>
      <c r="F50" s="529">
        <f t="shared" si="2"/>
        <v>662254746.49000001</v>
      </c>
      <c r="G50" s="1492"/>
      <c r="H50" s="1493"/>
      <c r="I50" s="583"/>
    </row>
    <row r="51" spans="1:10" x14ac:dyDescent="0.5">
      <c r="C51" s="98"/>
      <c r="D51" s="98"/>
      <c r="E51" s="98"/>
      <c r="F51" s="98"/>
      <c r="G51" s="98"/>
      <c r="H51" s="1494"/>
      <c r="I51" s="223"/>
      <c r="J51" s="98"/>
    </row>
    <row r="52" spans="1:10" x14ac:dyDescent="0.5">
      <c r="B52" s="269" t="s">
        <v>588</v>
      </c>
      <c r="C52" s="98"/>
      <c r="D52" s="98"/>
      <c r="E52" s="98"/>
      <c r="F52" s="98"/>
      <c r="G52" s="98"/>
      <c r="H52" s="1494"/>
      <c r="I52" s="223"/>
      <c r="J52" s="98"/>
    </row>
    <row r="53" spans="1:10" x14ac:dyDescent="0.5">
      <c r="C53" s="98"/>
      <c r="D53" s="98"/>
      <c r="E53" s="98"/>
      <c r="F53" s="98"/>
      <c r="G53" s="98"/>
      <c r="H53" s="1494"/>
      <c r="I53" s="223"/>
      <c r="J53" s="98"/>
    </row>
    <row r="54" spans="1:10" x14ac:dyDescent="0.5">
      <c r="C54" s="1495"/>
      <c r="D54" s="1495"/>
      <c r="E54" s="98" t="s">
        <v>184</v>
      </c>
      <c r="F54" s="98">
        <f>+'ข้อมูล ต.3-505,708,709ไป สนน.'!F83</f>
        <v>662254746.49000001</v>
      </c>
      <c r="H54" s="271"/>
      <c r="I54" s="785"/>
      <c r="J54" s="98"/>
    </row>
    <row r="55" spans="1:10" x14ac:dyDescent="0.5">
      <c r="A55" s="267"/>
      <c r="B55" s="267"/>
      <c r="C55" s="98"/>
      <c r="D55" s="98"/>
      <c r="E55" s="98"/>
      <c r="F55" s="98"/>
      <c r="G55" s="98"/>
      <c r="H55" s="271"/>
      <c r="I55" s="785"/>
      <c r="J55" s="98"/>
    </row>
    <row r="56" spans="1:10" x14ac:dyDescent="0.5">
      <c r="C56" s="785" t="s">
        <v>452</v>
      </c>
      <c r="E56" s="785" t="s">
        <v>319</v>
      </c>
      <c r="F56" s="785"/>
      <c r="G56" s="219"/>
      <c r="H56" s="271"/>
      <c r="I56" s="785"/>
      <c r="J56" s="98"/>
    </row>
    <row r="57" spans="1:10" x14ac:dyDescent="0.5">
      <c r="C57" s="785"/>
      <c r="E57" s="785"/>
      <c r="F57" s="785"/>
      <c r="G57" s="219"/>
      <c r="H57" s="271"/>
      <c r="I57" s="785"/>
      <c r="J57" s="98"/>
    </row>
    <row r="58" spans="1:10" x14ac:dyDescent="0.5">
      <c r="B58" s="269" t="s">
        <v>292</v>
      </c>
      <c r="C58" s="785">
        <f>SUM(C59:C65)</f>
        <v>55</v>
      </c>
      <c r="E58" s="785">
        <f>SUM(E59:E65)</f>
        <v>0</v>
      </c>
      <c r="F58" s="785"/>
      <c r="H58" s="271"/>
      <c r="I58" s="785"/>
      <c r="J58" s="98"/>
    </row>
    <row r="59" spans="1:10" x14ac:dyDescent="0.5">
      <c r="B59" s="269" t="s">
        <v>239</v>
      </c>
      <c r="C59" s="785">
        <v>11</v>
      </c>
      <c r="E59" s="270"/>
      <c r="F59" s="785" t="s">
        <v>293</v>
      </c>
      <c r="G59" s="98"/>
      <c r="H59" s="271"/>
      <c r="I59" s="785"/>
      <c r="J59" s="98"/>
    </row>
    <row r="60" spans="1:10" x14ac:dyDescent="0.5">
      <c r="B60" s="269" t="s">
        <v>137</v>
      </c>
      <c r="C60" s="785">
        <v>1</v>
      </c>
      <c r="E60" s="270"/>
      <c r="F60" s="785" t="s">
        <v>293</v>
      </c>
      <c r="G60" s="98"/>
      <c r="H60" s="271"/>
      <c r="I60" s="785"/>
      <c r="J60" s="98"/>
    </row>
    <row r="61" spans="1:10" x14ac:dyDescent="0.5">
      <c r="B61" s="269" t="str">
        <f>+A17</f>
        <v>กศป.</v>
      </c>
      <c r="C61" s="785">
        <v>5</v>
      </c>
      <c r="D61" s="269">
        <v>1</v>
      </c>
      <c r="E61" s="270"/>
      <c r="F61" s="785" t="s">
        <v>293</v>
      </c>
      <c r="G61" s="98"/>
      <c r="H61" s="269"/>
      <c r="I61" s="269"/>
    </row>
    <row r="62" spans="1:10" x14ac:dyDescent="0.5">
      <c r="B62" s="269" t="str">
        <f>+A23</f>
        <v>สวศ.</v>
      </c>
      <c r="C62" s="785">
        <v>14</v>
      </c>
      <c r="E62" s="270"/>
      <c r="F62" s="785" t="s">
        <v>293</v>
      </c>
      <c r="G62" s="98"/>
      <c r="H62" s="269"/>
      <c r="I62" s="269"/>
    </row>
    <row r="63" spans="1:10" x14ac:dyDescent="0.5">
      <c r="B63" s="269" t="str">
        <f>+A26</f>
        <v>ศสส.</v>
      </c>
      <c r="C63" s="785">
        <v>13</v>
      </c>
      <c r="E63" s="270"/>
      <c r="F63" s="785" t="s">
        <v>293</v>
      </c>
      <c r="G63" s="98"/>
      <c r="H63" s="269"/>
      <c r="I63" s="269"/>
    </row>
    <row r="64" spans="1:10" x14ac:dyDescent="0.5">
      <c r="B64" s="269" t="str">
        <f>+A37</f>
        <v>ศปผ.</v>
      </c>
      <c r="C64" s="785">
        <v>7</v>
      </c>
      <c r="E64" s="270"/>
      <c r="F64" s="785" t="s">
        <v>293</v>
      </c>
      <c r="G64" s="98"/>
      <c r="H64" s="269"/>
      <c r="I64" s="269"/>
    </row>
    <row r="65" spans="2:10" x14ac:dyDescent="0.5">
      <c r="B65" s="269" t="str">
        <f>+A45</f>
        <v>สศท.1-12</v>
      </c>
      <c r="C65" s="785">
        <v>4</v>
      </c>
      <c r="E65" s="270"/>
      <c r="F65" s="785" t="s">
        <v>293</v>
      </c>
      <c r="G65" s="98"/>
      <c r="H65" s="269"/>
      <c r="I65" s="269"/>
    </row>
    <row r="66" spans="2:10" x14ac:dyDescent="0.5">
      <c r="C66" s="785"/>
      <c r="E66" s="270"/>
      <c r="F66" s="785"/>
      <c r="G66" s="98"/>
      <c r="H66" s="785"/>
      <c r="I66" s="785"/>
      <c r="J66" s="98"/>
    </row>
    <row r="67" spans="2:10" x14ac:dyDescent="0.5">
      <c r="B67" s="269" t="s">
        <v>294</v>
      </c>
      <c r="C67" s="270">
        <f>SUM(C68:C68)</f>
        <v>12</v>
      </c>
      <c r="E67" s="270">
        <f>SUM(E68:E68)</f>
        <v>0</v>
      </c>
      <c r="F67" s="785" t="s">
        <v>293</v>
      </c>
    </row>
    <row r="68" spans="2:10" x14ac:dyDescent="0.5">
      <c r="B68" s="269" t="s">
        <v>89</v>
      </c>
      <c r="C68" s="270">
        <v>12</v>
      </c>
      <c r="E68" s="270"/>
      <c r="F68" s="785" t="s">
        <v>293</v>
      </c>
    </row>
    <row r="69" spans="2:10" x14ac:dyDescent="0.5">
      <c r="C69" s="270"/>
      <c r="E69" s="270"/>
      <c r="F69" s="270"/>
    </row>
  </sheetData>
  <mergeCells count="2">
    <mergeCell ref="A3:B3"/>
    <mergeCell ref="A50:B50"/>
  </mergeCells>
  <phoneticPr fontId="4" type="noConversion"/>
  <pageMargins left="0.39370078740157483" right="0" top="0.39370078740157483" bottom="0.19685039370078741" header="0" footer="0"/>
  <pageSetup scale="68" orientation="landscape" r:id="rId1"/>
  <headerFooter alignWithMargins="0"/>
  <rowBreaks count="1" manualBreakCount="1">
    <brk id="36" max="16383" man="1"/>
  </rowBreaks>
  <colBreaks count="1" manualBreakCount="1">
    <brk id="10" max="52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</sheetPr>
  <dimension ref="A1:J22"/>
  <sheetViews>
    <sheetView view="pageBreakPreview" topLeftCell="A7" zoomScale="110" zoomScaleNormal="100" zoomScaleSheetLayoutView="110" workbookViewId="0">
      <selection activeCell="E6" sqref="E6"/>
    </sheetView>
  </sheetViews>
  <sheetFormatPr defaultColWidth="9" defaultRowHeight="21.75" x14ac:dyDescent="0.5"/>
  <cols>
    <col min="1" max="1" width="49.140625" style="269" customWidth="1"/>
    <col min="2" max="5" width="15.28515625" style="269" customWidth="1"/>
    <col min="6" max="6" width="8.7109375" style="269" customWidth="1"/>
    <col min="7" max="7" width="10.85546875" style="269" customWidth="1"/>
    <col min="8" max="8" width="15.42578125" style="269" customWidth="1"/>
    <col min="9" max="9" width="2" style="269" customWidth="1"/>
    <col min="10" max="10" width="19.140625" style="269" customWidth="1"/>
    <col min="11" max="16384" width="9" style="269"/>
  </cols>
  <sheetData>
    <row r="1" spans="1:10" s="1067" customFormat="1" ht="23.25" x14ac:dyDescent="0.55000000000000004">
      <c r="A1" s="1066" t="s">
        <v>389</v>
      </c>
    </row>
    <row r="2" spans="1:10" s="1067" customFormat="1" ht="24" thickBot="1" x14ac:dyDescent="0.6">
      <c r="H2" s="1068" t="s">
        <v>119</v>
      </c>
      <c r="J2" s="1067" t="s">
        <v>186</v>
      </c>
    </row>
    <row r="3" spans="1:10" x14ac:dyDescent="0.5">
      <c r="A3" s="1033" t="s">
        <v>406</v>
      </c>
      <c r="B3" s="1034" t="s">
        <v>67</v>
      </c>
      <c r="C3" s="1034" t="s">
        <v>69</v>
      </c>
      <c r="D3" s="1034" t="s">
        <v>77</v>
      </c>
      <c r="E3" s="1034" t="s">
        <v>78</v>
      </c>
      <c r="F3" s="1034" t="s">
        <v>83</v>
      </c>
      <c r="G3" s="1034" t="s">
        <v>81</v>
      </c>
      <c r="H3" s="1036" t="s">
        <v>88</v>
      </c>
      <c r="J3" s="269" t="s">
        <v>263</v>
      </c>
    </row>
    <row r="4" spans="1:10" x14ac:dyDescent="0.5">
      <c r="A4" s="1069" t="s">
        <v>320</v>
      </c>
      <c r="B4" s="1070">
        <f>+'ต.ที่ 4-จาก ต.5-61-กิจกรรมหลัก '!B4+'ต.ที่ 4-จาก ต.5-61-กิจกรรมหลัก '!B5+'ต.ที่ 4-จาก ต.5-61-กิจกรรมหลัก '!B6+'ต.ที่ 4-จาก ต.5-61-กิจกรรมหลัก '!B7+'ต.ที่ 4-จาก ต.5-61-กิจกรรมหลัก '!B8+'ต.ที่ 4-จาก ต.5-61-กิจกรรมหลัก '!B9</f>
        <v>487926220.41698688</v>
      </c>
      <c r="C4" s="1070">
        <f>+'ต.ที่ 4-จาก ต.5-61-กิจกรรมหลัก '!C4+'ต.ที่ 4-จาก ต.5-61-กิจกรรมหลัก '!C5+'ต.ที่ 4-จาก ต.5-61-กิจกรรมหลัก '!C6+'ต.ที่ 4-จาก ต.5-61-กิจกรรมหลัก '!C7+'ต.ที่ 4-จาก ต.5-61-กิจกรรมหลัก '!C8+'ต.ที่ 4-จาก ต.5-61-กิจกรรมหลัก '!C9</f>
        <v>35271848.094197623</v>
      </c>
      <c r="D4" s="1070">
        <f>+'ต.ที่ 4-จาก ต.5-61-กิจกรรมหลัก '!D4+'ต.ที่ 4-จาก ต.5-61-กิจกรรมหลัก '!D5+'ต.ที่ 4-จาก ต.5-61-กิจกรรมหลัก '!D6+'ต.ที่ 4-จาก ต.5-61-กิจกรรมหลัก '!D7+'ต.ที่ 4-จาก ต.5-61-กิจกรรมหลัก '!D8+'ต.ที่ 4-จาก ต.5-61-กิจกรรมหลัก '!D9</f>
        <v>36541055.353636205</v>
      </c>
      <c r="E4" s="1071">
        <f>SUM(B4:D4)</f>
        <v>559739123.86482072</v>
      </c>
      <c r="F4" s="1072">
        <v>6</v>
      </c>
      <c r="G4" s="1073" t="s">
        <v>165</v>
      </c>
      <c r="H4" s="1074">
        <f>+E4/F4</f>
        <v>93289853.977470115</v>
      </c>
      <c r="J4" s="1075" t="s">
        <v>553</v>
      </c>
    </row>
    <row r="5" spans="1:10" s="127" customFormat="1" ht="43.5" x14ac:dyDescent="0.2">
      <c r="A5" s="1043" t="s">
        <v>508</v>
      </c>
      <c r="B5" s="250">
        <f>+'ต.ที่ 4-จาก ต.5-61-กิจกรรมหลัก '!B10</f>
        <v>5366147.8044980057</v>
      </c>
      <c r="C5" s="250">
        <f>+'ต.ที่ 4-จาก ต.5-61-กิจกรรมหลัก '!C10</f>
        <v>435095.33042029059</v>
      </c>
      <c r="D5" s="250">
        <f>+'ต.ที่ 4-จาก ต.5-61-กิจกรรมหลัก '!D10</f>
        <v>173106.25873316487</v>
      </c>
      <c r="E5" s="251">
        <f t="shared" ref="E5:E13" si="0">SUM(B5:D5)</f>
        <v>5974349.3936514612</v>
      </c>
      <c r="F5" s="857">
        <v>3</v>
      </c>
      <c r="G5" s="1044" t="s">
        <v>28</v>
      </c>
      <c r="H5" s="1076">
        <f t="shared" ref="H5:H13" si="1">+E5/F5</f>
        <v>1991449.7978838205</v>
      </c>
      <c r="J5" s="1077" t="s">
        <v>554</v>
      </c>
    </row>
    <row r="6" spans="1:10" s="127" customFormat="1" x14ac:dyDescent="0.2">
      <c r="A6" s="256" t="s">
        <v>509</v>
      </c>
      <c r="B6" s="250">
        <f>+'ต.ที่ 4-จาก ต.5-61-กิจกรรมหลัก '!B11</f>
        <v>8323931.3664041217</v>
      </c>
      <c r="C6" s="250">
        <f>+'ต.ที่ 4-จาก ต.5-61-กิจกรรมหลัก '!C11</f>
        <v>451323.386548132</v>
      </c>
      <c r="D6" s="250">
        <f>+'ต.ที่ 4-จาก ต.5-61-กิจกรรมหลัก '!D11</f>
        <v>2000736.8361125086</v>
      </c>
      <c r="E6" s="251">
        <f t="shared" si="0"/>
        <v>10775991.589064762</v>
      </c>
      <c r="F6" s="857">
        <v>1</v>
      </c>
      <c r="G6" s="857" t="s">
        <v>274</v>
      </c>
      <c r="H6" s="1076">
        <f t="shared" si="1"/>
        <v>10775991.589064762</v>
      </c>
      <c r="J6" s="1077" t="s">
        <v>555</v>
      </c>
    </row>
    <row r="7" spans="1:10" s="127" customFormat="1" x14ac:dyDescent="0.2">
      <c r="A7" s="256" t="s">
        <v>510</v>
      </c>
      <c r="B7" s="106">
        <f>+'ต.ที่ 4-จาก ต.5-61-กิจกรรมหลัก '!B12</f>
        <v>4565147.6462550946</v>
      </c>
      <c r="C7" s="106">
        <f>+'ต.ที่ 4-จาก ต.5-61-กิจกรรมหลัก '!C12</f>
        <v>323452.99376274052</v>
      </c>
      <c r="D7" s="106">
        <f>+'ต.ที่ 4-จาก ต.5-61-กิจกรรมหลัก '!D12</f>
        <v>158446.68369027693</v>
      </c>
      <c r="E7" s="251">
        <f t="shared" si="0"/>
        <v>5047047.3237081124</v>
      </c>
      <c r="F7" s="857">
        <v>1</v>
      </c>
      <c r="G7" s="857" t="s">
        <v>1</v>
      </c>
      <c r="H7" s="1076">
        <f t="shared" si="1"/>
        <v>5047047.3237081124</v>
      </c>
      <c r="J7" s="1077" t="s">
        <v>556</v>
      </c>
    </row>
    <row r="8" spans="1:10" s="127" customFormat="1" x14ac:dyDescent="0.2">
      <c r="A8" s="256" t="s">
        <v>511</v>
      </c>
      <c r="B8" s="250">
        <f>+'ต.ที่ 4-จาก ต.5-61-กิจกรรมหลัก '!B13</f>
        <v>1155517.4216830228</v>
      </c>
      <c r="C8" s="250">
        <f>+'ต.ที่ 4-จาก ต.5-61-กิจกรรมหลัก '!C13</f>
        <v>81871.518371366983</v>
      </c>
      <c r="D8" s="250">
        <f>+'ต.ที่ 4-จาก ต.5-61-กิจกรรมหลัก '!D13</f>
        <v>40105.582031329439</v>
      </c>
      <c r="E8" s="251">
        <f t="shared" si="0"/>
        <v>1277494.522085719</v>
      </c>
      <c r="F8" s="857">
        <v>1</v>
      </c>
      <c r="G8" s="857" t="s">
        <v>1</v>
      </c>
      <c r="H8" s="1076">
        <f t="shared" si="1"/>
        <v>1277494.522085719</v>
      </c>
      <c r="J8" s="1077" t="s">
        <v>557</v>
      </c>
    </row>
    <row r="9" spans="1:10" s="127" customFormat="1" ht="21.75" customHeight="1" x14ac:dyDescent="0.2">
      <c r="A9" s="256" t="s">
        <v>512</v>
      </c>
      <c r="B9" s="250">
        <f>+'ต.ที่ 4-จาก ต.5-61-กิจกรรมหลัก '!B14</f>
        <v>1155517.4216830228</v>
      </c>
      <c r="C9" s="250">
        <f>+'ต.ที่ 4-จาก ต.5-61-กิจกรรมหลัก '!C14</f>
        <v>81871.518371366983</v>
      </c>
      <c r="D9" s="250">
        <f>+'ต.ที่ 4-จาก ต.5-61-กิจกรรมหลัก '!D14</f>
        <v>40105.582031329439</v>
      </c>
      <c r="E9" s="251">
        <f t="shared" si="0"/>
        <v>1277494.522085719</v>
      </c>
      <c r="F9" s="857">
        <v>1</v>
      </c>
      <c r="G9" s="857" t="s">
        <v>1</v>
      </c>
      <c r="H9" s="1076">
        <f t="shared" si="1"/>
        <v>1277494.522085719</v>
      </c>
      <c r="J9" s="1077" t="s">
        <v>558</v>
      </c>
    </row>
    <row r="10" spans="1:10" s="127" customFormat="1" x14ac:dyDescent="0.2">
      <c r="A10" s="256" t="s">
        <v>513</v>
      </c>
      <c r="B10" s="250">
        <f>+'ต.ที่ 4-จาก ต.5-61-กิจกรรมหลัก '!B15</f>
        <v>1424172.632220705</v>
      </c>
      <c r="C10" s="250">
        <f>+'ต.ที่ 4-จาก ต.5-61-กิจกรรมหลัก '!C15</f>
        <v>77218.610667219458</v>
      </c>
      <c r="D10" s="250">
        <f>+'ต.ที่ 4-จาก ต.5-61-กิจกรรมหลัก '!D15</f>
        <v>342313.56805362453</v>
      </c>
      <c r="E10" s="251">
        <f t="shared" si="0"/>
        <v>1843704.810941549</v>
      </c>
      <c r="F10" s="857">
        <v>882</v>
      </c>
      <c r="G10" s="1044" t="s">
        <v>325</v>
      </c>
      <c r="H10" s="1076">
        <f t="shared" si="1"/>
        <v>2090.3682663736386</v>
      </c>
      <c r="J10" s="1077" t="s">
        <v>559</v>
      </c>
    </row>
    <row r="11" spans="1:10" s="127" customFormat="1" x14ac:dyDescent="0.2">
      <c r="A11" s="256" t="s">
        <v>514</v>
      </c>
      <c r="B11" s="250">
        <f>+'ต.ที่ 4-จาก ต.5-61-กิจกรรมหลัก '!B16</f>
        <v>1204402.0627873302</v>
      </c>
      <c r="C11" s="250">
        <f>+'ต.ที่ 4-จาก ต.5-61-กิจกรรมหลัก '!C16</f>
        <v>97654.729716554109</v>
      </c>
      <c r="D11" s="250">
        <f>+'ต.ที่ 4-จาก ต.5-61-กิจกรรมหลัก '!D16</f>
        <v>38852.738071221451</v>
      </c>
      <c r="E11" s="251">
        <f t="shared" si="0"/>
        <v>1340909.5305751057</v>
      </c>
      <c r="F11" s="857">
        <v>1</v>
      </c>
      <c r="G11" s="857" t="s">
        <v>1</v>
      </c>
      <c r="H11" s="1076">
        <f t="shared" si="1"/>
        <v>1340909.5305751057</v>
      </c>
      <c r="J11" s="1077" t="s">
        <v>560</v>
      </c>
    </row>
    <row r="12" spans="1:10" s="561" customFormat="1" ht="43.5" x14ac:dyDescent="0.2">
      <c r="A12" s="1043" t="s">
        <v>515</v>
      </c>
      <c r="B12" s="1078">
        <f>+'ต.ที่ 4-จาก ต.5-61-กิจกรรมหลัก '!B17</f>
        <v>52860902.620575279</v>
      </c>
      <c r="C12" s="1078">
        <f>+'ต.ที่ 4-จาก ต.5-61-กิจกรรมหลัก '!C17</f>
        <v>3833345.7644845448</v>
      </c>
      <c r="D12" s="1078">
        <f>+'ต.ที่ 4-จาก ต.5-61-กิจกรรมหลัก '!D17</f>
        <v>1404801.972948499</v>
      </c>
      <c r="E12" s="251">
        <f t="shared" si="0"/>
        <v>58099050.358008325</v>
      </c>
      <c r="F12" s="1079">
        <v>28</v>
      </c>
      <c r="G12" s="1080" t="s">
        <v>7</v>
      </c>
      <c r="H12" s="1076">
        <f t="shared" si="1"/>
        <v>2074966.084214583</v>
      </c>
      <c r="J12" s="1081" t="s">
        <v>561</v>
      </c>
    </row>
    <row r="13" spans="1:10" s="561" customFormat="1" ht="43.5" x14ac:dyDescent="0.2">
      <c r="A13" s="1082" t="s">
        <v>516</v>
      </c>
      <c r="B13" s="1078">
        <f>+'ต.ที่ 4-จาก ต.5-61-กิจกรรมหลัก '!B18</f>
        <v>13038658.116906453</v>
      </c>
      <c r="C13" s="1078">
        <f>+'ต.ที่ 4-จาก ต.5-61-กิจกรรมหลัก '!C18</f>
        <v>706955.77346015978</v>
      </c>
      <c r="D13" s="1078">
        <f>+'ต.ที่ 4-จาก ต.5-61-กิจกรรมหลัก '!D18</f>
        <v>3133966.6846918589</v>
      </c>
      <c r="E13" s="251">
        <f t="shared" si="0"/>
        <v>16879580.575058471</v>
      </c>
      <c r="F13" s="1083">
        <v>15</v>
      </c>
      <c r="G13" s="1080" t="s">
        <v>7</v>
      </c>
      <c r="H13" s="1076">
        <f t="shared" si="1"/>
        <v>1125305.3716705649</v>
      </c>
      <c r="J13" s="1081" t="s">
        <v>562</v>
      </c>
    </row>
    <row r="14" spans="1:10" s="127" customFormat="1" x14ac:dyDescent="0.2">
      <c r="A14" s="677"/>
      <c r="B14" s="1084"/>
      <c r="C14" s="1084"/>
      <c r="D14" s="1084"/>
      <c r="E14" s="1085"/>
      <c r="F14" s="568"/>
      <c r="G14" s="1086"/>
      <c r="H14" s="1087"/>
      <c r="J14" s="1077"/>
    </row>
    <row r="15" spans="1:10" s="127" customFormat="1" ht="22.5" thickBot="1" x14ac:dyDescent="0.25">
      <c r="A15" s="1088" t="s">
        <v>71</v>
      </c>
      <c r="B15" s="1089">
        <f>SUM(B4:B14)</f>
        <v>577020617.50999987</v>
      </c>
      <c r="C15" s="1089">
        <f>SUM(C4:C14)</f>
        <v>41360637.719999999</v>
      </c>
      <c r="D15" s="1089">
        <f>SUM(D4:D14)</f>
        <v>43873491.260000028</v>
      </c>
      <c r="E15" s="1090">
        <f>SUM(B15:D15)</f>
        <v>662254746.48999989</v>
      </c>
      <c r="F15" s="1089"/>
      <c r="G15" s="1089"/>
      <c r="H15" s="1091"/>
    </row>
    <row r="16" spans="1:10" x14ac:dyDescent="0.5">
      <c r="B16" s="98">
        <f>+'ต.5 ถั่ว-สนับสนุนให้ กก หลัก-61'!C50</f>
        <v>577020617.50999999</v>
      </c>
      <c r="C16" s="98">
        <f>+'ต.5 ถั่ว-สนับสนุนให้ กก หลัก-61'!D50</f>
        <v>41360637.720000006</v>
      </c>
      <c r="D16" s="98">
        <f>+'ต.5 ถั่ว-สนับสนุนให้ กก หลัก-61'!E50</f>
        <v>43873491.26000002</v>
      </c>
      <c r="E16" s="98">
        <f>+'ต.5 ถั่ว-สนับสนุนให้ กก หลัก-61'!F50</f>
        <v>662254746.49000001</v>
      </c>
    </row>
    <row r="17" spans="1:5" x14ac:dyDescent="0.5">
      <c r="B17" s="423">
        <f>+B15-B16</f>
        <v>0</v>
      </c>
      <c r="C17" s="423">
        <f>+C15-C16</f>
        <v>0</v>
      </c>
      <c r="D17" s="423">
        <f>+D15-D16</f>
        <v>0</v>
      </c>
      <c r="E17" s="423">
        <f>+E15-E16</f>
        <v>0</v>
      </c>
    </row>
    <row r="18" spans="1:5" x14ac:dyDescent="0.5">
      <c r="A18" s="1092"/>
      <c r="D18" s="98"/>
      <c r="E18" s="98"/>
    </row>
    <row r="19" spans="1:5" x14ac:dyDescent="0.5">
      <c r="A19" s="359"/>
      <c r="D19" s="98"/>
      <c r="E19" s="98"/>
    </row>
    <row r="20" spans="1:5" x14ac:dyDescent="0.5">
      <c r="A20" s="1093"/>
    </row>
    <row r="21" spans="1:5" x14ac:dyDescent="0.5">
      <c r="E21" s="1094"/>
    </row>
    <row r="22" spans="1:5" x14ac:dyDescent="0.5">
      <c r="B22" s="423">
        <f>+B15-'ต.ที่ 4-จาก ต.5-61-กิจกรรมหลัก '!B20</f>
        <v>0</v>
      </c>
    </row>
  </sheetData>
  <phoneticPr fontId="4" type="noConversion"/>
  <pageMargins left="0.39370078740157483" right="0" top="0.55118110236220474" bottom="0.98425196850393704" header="0" footer="0"/>
  <pageSetup paperSize="9" scale="85" orientation="landscape" r:id="rId1"/>
  <headerFooter alignWithMargins="0"/>
  <colBreaks count="1" manualBreakCount="1">
    <brk id="10" max="1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34</vt:i4>
      </vt:variant>
    </vt:vector>
  </HeadingPairs>
  <TitlesOfParts>
    <vt:vector size="56" baseType="lpstr">
      <vt:lpstr>เกณฑ์การปันส่วน สศก. ปี 61</vt:lpstr>
      <vt:lpstr>ตารางที่ 1ข้อมูลจากPro-ปี61 ไม่</vt:lpstr>
      <vt:lpstr>ต.2=กระจาย ต.1สู่ ต.2-ปี61</vt:lpstr>
      <vt:lpstr>ตารางที่3 จาก ต.2-สูตร-ปี61ฐาน</vt:lpstr>
      <vt:lpstr>ข้อมูล ต.3-505,708,709ไป สนน.</vt:lpstr>
      <vt:lpstr>ต.ที่ 4-จาก ต.5-61-กิจกรรมหลัก </vt:lpstr>
      <vt:lpstr>ปัน ก.สนับ ให้ ก.หลัก- ต.5 ไม่</vt:lpstr>
      <vt:lpstr>ต.5 ถั่ว-สนับสนุนให้ กก หลัก-61</vt:lpstr>
      <vt:lpstr>ต. 6 ผลผลิตหลัก-จาก ต.4-61 </vt:lpstr>
      <vt:lpstr>ต.7เทียบ-60-61-กก.ย่อย จาก ต.3 </vt:lpstr>
      <vt:lpstr>ต. 7-วิเคราะห์-ปี61-</vt:lpstr>
      <vt:lpstr>ต. 8กิจกรรมหลัก ต.4-60-61</vt:lpstr>
      <vt:lpstr>ตารางที่ 8-วิเคราะห์-ปี61 ไม่</vt:lpstr>
      <vt:lpstr>ต. 9ผลผลิตย่อย-จาก ต.5-60 ไม่</vt:lpstr>
      <vt:lpstr>ตารางที่ 9-วิเคราะห์-ปี60 ไม่</vt:lpstr>
      <vt:lpstr>ต. 10 ผลผลิต-จาก ต.6-60 ไม่</vt:lpstr>
      <vt:lpstr>ตารางที่ 10-วิเคราะห์-60 ไม่</vt:lpstr>
      <vt:lpstr>ตารางที่ 11-ปี 60 จาก ต.2 ไม่</vt:lpstr>
      <vt:lpstr>ตารางที่ 11-วิเคราะห์-ปี59 ไม่</vt:lpstr>
      <vt:lpstr>ตารางที่ 12-ปี60 ไม่</vt:lpstr>
      <vt:lpstr>ตารางที่ 12 แยก ปี 60 ไม่</vt:lpstr>
      <vt:lpstr>ตารางที่ 12-วิเคราะห์-ปี60 ไม่</vt:lpstr>
      <vt:lpstr>'ข้อมูล ต.3-505,708,709ไป สนน.'!Print_Area</vt:lpstr>
      <vt:lpstr>'ต. 10 ผลผลิต-จาก ต.6-60 ไม่'!Print_Area</vt:lpstr>
      <vt:lpstr>'ต. 6 ผลผลิตหลัก-จาก ต.4-61 '!Print_Area</vt:lpstr>
      <vt:lpstr>'ต. 7-วิเคราะห์-ปี61-'!Print_Area</vt:lpstr>
      <vt:lpstr>'ต. 8กิจกรรมหลัก ต.4-60-61'!Print_Area</vt:lpstr>
      <vt:lpstr>'ต. 9ผลผลิตย่อย-จาก ต.5-60 ไม่'!Print_Area</vt:lpstr>
      <vt:lpstr>'ต.2=กระจาย ต.1สู่ ต.2-ปี61'!Print_Area</vt:lpstr>
      <vt:lpstr>'ต.5 ถั่ว-สนับสนุนให้ กก หลัก-61'!Print_Area</vt:lpstr>
      <vt:lpstr>'ต.7เทียบ-60-61-กก.ย่อย จาก ต.3 '!Print_Area</vt:lpstr>
      <vt:lpstr>'ต.ที่ 4-จาก ต.5-61-กิจกรรมหลัก '!Print_Area</vt:lpstr>
      <vt:lpstr>'ตารางที่ 10-วิเคราะห์-60 ไม่'!Print_Area</vt:lpstr>
      <vt:lpstr>'ตารางที่ 11-ปี 60 จาก ต.2 ไม่'!Print_Area</vt:lpstr>
      <vt:lpstr>'ตารางที่ 11-วิเคราะห์-ปี59 ไม่'!Print_Area</vt:lpstr>
      <vt:lpstr>'ตารางที่ 12 แยก ปี 60 ไม่'!Print_Area</vt:lpstr>
      <vt:lpstr>'ตารางที่ 12-ปี60 ไม่'!Print_Area</vt:lpstr>
      <vt:lpstr>'ตารางที่ 12-วิเคราะห์-ปี60 ไม่'!Print_Area</vt:lpstr>
      <vt:lpstr>'ตารางที่ 1ข้อมูลจากPro-ปี61 ไม่'!Print_Area</vt:lpstr>
      <vt:lpstr>'ตารางที่ 8-วิเคราะห์-ปี61 ไม่'!Print_Area</vt:lpstr>
      <vt:lpstr>'ตารางที่ 9-วิเคราะห์-ปี60 ไม่'!Print_Area</vt:lpstr>
      <vt:lpstr>'ตารางที่3 จาก ต.2-สูตร-ปี61ฐาน'!Print_Area</vt:lpstr>
      <vt:lpstr>'ปัน ก.สนับ ให้ ก.หลัก- ต.5 ไม่'!Print_Area</vt:lpstr>
      <vt:lpstr>'ข้อมูล ต.3-505,708,709ไป สนน.'!Print_Titles</vt:lpstr>
      <vt:lpstr>'ต. 7-วิเคราะห์-ปี61-'!Print_Titles</vt:lpstr>
      <vt:lpstr>'ต. 8กิจกรรมหลัก ต.4-60-61'!Print_Titles</vt:lpstr>
      <vt:lpstr>'ต. 9ผลผลิตย่อย-จาก ต.5-60 ไม่'!Print_Titles</vt:lpstr>
      <vt:lpstr>'ต.5 ถั่ว-สนับสนุนให้ กก หลัก-61'!Print_Titles</vt:lpstr>
      <vt:lpstr>'ต.7เทียบ-60-61-กก.ย่อย จาก ต.3 '!Print_Titles</vt:lpstr>
      <vt:lpstr>'ตารางที่ 10-วิเคราะห์-60 ไม่'!Print_Titles</vt:lpstr>
      <vt:lpstr>'ตารางที่ 11-วิเคราะห์-ปี59 ไม่'!Print_Titles</vt:lpstr>
      <vt:lpstr>'ตารางที่ 12-วิเคราะห์-ปี60 ไม่'!Print_Titles</vt:lpstr>
      <vt:lpstr>'ตารางที่ 8-วิเคราะห์-ปี61 ไม่'!Print_Titles</vt:lpstr>
      <vt:lpstr>'ตารางที่ 9-วิเคราะห์-ปี60 ไม่'!Print_Titles</vt:lpstr>
      <vt:lpstr>'ตารางที่3 จาก ต.2-สูตร-ปี61ฐาน'!Print_Titles</vt:lpstr>
      <vt:lpstr>'ปัน ก.สนับ ให้ ก.หลัก- ต.5 ไม่'!Print_Titles</vt:lpstr>
    </vt:vector>
  </TitlesOfParts>
  <Company>The Comptroller General's Department.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CGD</dc:creator>
  <cp:lastModifiedBy>เวหา มิ่งวงศ์</cp:lastModifiedBy>
  <cp:lastPrinted>2019-02-27T11:36:51Z</cp:lastPrinted>
  <dcterms:created xsi:type="dcterms:W3CDTF">2008-02-18T03:46:55Z</dcterms:created>
  <dcterms:modified xsi:type="dcterms:W3CDTF">2019-02-27T11:47:49Z</dcterms:modified>
</cp:coreProperties>
</file>